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120" yWindow="180" windowWidth="21600" windowHeight="13000" tabRatio="500" firstSheet="1" activeTab="1"/>
  </bookViews>
  <sheets>
    <sheet name="WASTE" sheetId="1" state="hidden" r:id="rId1"/>
    <sheet name="WASTE (FINAL)" sheetId="3" r:id="rId2"/>
    <sheet name="ENERGY" sheetId="2" state="hidden" r:id="rId3"/>
    <sheet name="WATER (FINAL) " sheetId="4" r:id="rId4"/>
    <sheet name="ENERGY (FINAL)" sheetId="5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3" i="2"/>
  <c r="J21"/>
  <c r="F82"/>
  <c r="F86"/>
  <c r="F87"/>
  <c r="F88"/>
  <c r="B91"/>
  <c r="E83"/>
  <c r="F83"/>
  <c r="F84"/>
  <c r="F85"/>
  <c r="B92"/>
  <c r="B74"/>
  <c r="F66"/>
  <c r="F70"/>
  <c r="F71"/>
  <c r="F72"/>
  <c r="B75"/>
  <c r="E67"/>
  <c r="F67"/>
  <c r="F68"/>
  <c r="F69"/>
  <c r="B76"/>
  <c r="B77"/>
  <c r="F50"/>
  <c r="F54"/>
  <c r="F56"/>
  <c r="F55"/>
  <c r="B59"/>
  <c r="E51"/>
  <c r="F51"/>
  <c r="F52"/>
  <c r="F53"/>
  <c r="B60"/>
  <c r="B61"/>
  <c r="F34"/>
  <c r="F38"/>
  <c r="F40"/>
  <c r="F39"/>
  <c r="B43"/>
  <c r="E35"/>
  <c r="F35"/>
  <c r="F36"/>
  <c r="F37"/>
  <c r="B44"/>
  <c r="B90"/>
  <c r="B58"/>
  <c r="B42"/>
  <c r="B7"/>
  <c r="C7"/>
  <c r="D7"/>
  <c r="E7"/>
  <c r="B93"/>
  <c r="B45"/>
  <c r="H31" i="5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I31"/>
  <c r="H86"/>
  <c r="H87"/>
  <c r="H88"/>
  <c r="H89"/>
  <c r="H90"/>
  <c r="H91"/>
  <c r="H92"/>
  <c r="H93"/>
  <c r="H94"/>
  <c r="H95"/>
  <c r="I86"/>
  <c r="D98"/>
  <c r="E73"/>
  <c r="E25"/>
  <c r="F73"/>
  <c r="H73"/>
  <c r="E74"/>
  <c r="F74"/>
  <c r="H74"/>
  <c r="E75"/>
  <c r="F75"/>
  <c r="H75"/>
  <c r="E76"/>
  <c r="F76"/>
  <c r="H76"/>
  <c r="E77"/>
  <c r="F77"/>
  <c r="H77"/>
  <c r="E78"/>
  <c r="F78"/>
  <c r="H78"/>
  <c r="E79"/>
  <c r="F79"/>
  <c r="H79"/>
  <c r="E80"/>
  <c r="F80"/>
  <c r="H80"/>
  <c r="E81"/>
  <c r="F81"/>
  <c r="H81"/>
  <c r="E82"/>
  <c r="F82"/>
  <c r="H82"/>
  <c r="E83"/>
  <c r="F83"/>
  <c r="H83"/>
  <c r="E84"/>
  <c r="F84"/>
  <c r="H84"/>
  <c r="E85"/>
  <c r="F85"/>
  <c r="H85"/>
  <c r="I73"/>
  <c r="D99"/>
  <c r="D101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I106"/>
  <c r="H168"/>
  <c r="H169"/>
  <c r="H170"/>
  <c r="H171"/>
  <c r="H172"/>
  <c r="H173"/>
  <c r="H174"/>
  <c r="H175"/>
  <c r="H176"/>
  <c r="H177"/>
  <c r="H178"/>
  <c r="H179"/>
  <c r="H180"/>
  <c r="H181"/>
  <c r="H182"/>
  <c r="I168"/>
  <c r="D185"/>
  <c r="E153"/>
  <c r="F153"/>
  <c r="H153"/>
  <c r="E154"/>
  <c r="F154"/>
  <c r="H154"/>
  <c r="E155"/>
  <c r="F155"/>
  <c r="H155"/>
  <c r="E156"/>
  <c r="F156"/>
  <c r="H156"/>
  <c r="E157"/>
  <c r="F157"/>
  <c r="H157"/>
  <c r="E158"/>
  <c r="F158"/>
  <c r="H158"/>
  <c r="E159"/>
  <c r="F159"/>
  <c r="H159"/>
  <c r="E160"/>
  <c r="F160"/>
  <c r="H160"/>
  <c r="E161"/>
  <c r="F161"/>
  <c r="H161"/>
  <c r="E162"/>
  <c r="F162"/>
  <c r="H162"/>
  <c r="E163"/>
  <c r="F163"/>
  <c r="H163"/>
  <c r="E164"/>
  <c r="F164"/>
  <c r="H164"/>
  <c r="I153"/>
  <c r="D186"/>
  <c r="E165"/>
  <c r="H165"/>
  <c r="E166"/>
  <c r="H166"/>
  <c r="E167"/>
  <c r="H167"/>
  <c r="I165"/>
  <c r="D187"/>
  <c r="D188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I193"/>
  <c r="H261"/>
  <c r="H262"/>
  <c r="H263"/>
  <c r="H264"/>
  <c r="H265"/>
  <c r="I261"/>
  <c r="D268"/>
  <c r="E248"/>
  <c r="F248"/>
  <c r="H248"/>
  <c r="E249"/>
  <c r="F249"/>
  <c r="H249"/>
  <c r="E250"/>
  <c r="F250"/>
  <c r="H250"/>
  <c r="E251"/>
  <c r="F251"/>
  <c r="H251"/>
  <c r="E252"/>
  <c r="F252"/>
  <c r="H252"/>
  <c r="E253"/>
  <c r="F253"/>
  <c r="H253"/>
  <c r="E254"/>
  <c r="F254"/>
  <c r="H254"/>
  <c r="E255"/>
  <c r="F255"/>
  <c r="H255"/>
  <c r="I248"/>
  <c r="D269"/>
  <c r="E256"/>
  <c r="H256"/>
  <c r="E257"/>
  <c r="H257"/>
  <c r="E258"/>
  <c r="H258"/>
  <c r="E259"/>
  <c r="H259"/>
  <c r="E260"/>
  <c r="H260"/>
  <c r="I256"/>
  <c r="D270"/>
  <c r="D271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I276"/>
  <c r="H352"/>
  <c r="H353"/>
  <c r="H354"/>
  <c r="H355"/>
  <c r="H356"/>
  <c r="H357"/>
  <c r="H358"/>
  <c r="H359"/>
  <c r="H360"/>
  <c r="H361"/>
  <c r="H362"/>
  <c r="I352"/>
  <c r="D365"/>
  <c r="E333"/>
  <c r="F333"/>
  <c r="H333"/>
  <c r="E334"/>
  <c r="F334"/>
  <c r="H334"/>
  <c r="E335"/>
  <c r="F335"/>
  <c r="H335"/>
  <c r="E336"/>
  <c r="F336"/>
  <c r="H336"/>
  <c r="E337"/>
  <c r="F337"/>
  <c r="H337"/>
  <c r="E338"/>
  <c r="F338"/>
  <c r="H338"/>
  <c r="E339"/>
  <c r="F339"/>
  <c r="H339"/>
  <c r="E340"/>
  <c r="F340"/>
  <c r="H340"/>
  <c r="E341"/>
  <c r="F341"/>
  <c r="H341"/>
  <c r="E342"/>
  <c r="F342"/>
  <c r="H342"/>
  <c r="E343"/>
  <c r="F343"/>
  <c r="H343"/>
  <c r="E344"/>
  <c r="F344"/>
  <c r="H344"/>
  <c r="E345"/>
  <c r="F345"/>
  <c r="H345"/>
  <c r="E346"/>
  <c r="F346"/>
  <c r="H346"/>
  <c r="E347"/>
  <c r="F347"/>
  <c r="H347"/>
  <c r="I333"/>
  <c r="D366"/>
  <c r="E348"/>
  <c r="H348"/>
  <c r="E349"/>
  <c r="H349"/>
  <c r="E350"/>
  <c r="H350"/>
  <c r="E351"/>
  <c r="H351"/>
  <c r="I348"/>
  <c r="D367"/>
  <c r="D368"/>
  <c r="D375"/>
  <c r="D374"/>
  <c r="D373"/>
  <c r="D372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86"/>
  <c r="E87"/>
  <c r="E88"/>
  <c r="E89"/>
  <c r="E90"/>
  <c r="E91"/>
  <c r="E92"/>
  <c r="E93"/>
  <c r="E94"/>
  <c r="E95"/>
  <c r="D97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68"/>
  <c r="E169"/>
  <c r="E170"/>
  <c r="E171"/>
  <c r="E172"/>
  <c r="E173"/>
  <c r="E174"/>
  <c r="E175"/>
  <c r="E176"/>
  <c r="E177"/>
  <c r="E178"/>
  <c r="E179"/>
  <c r="E180"/>
  <c r="E181"/>
  <c r="E182"/>
  <c r="D184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61"/>
  <c r="E262"/>
  <c r="E263"/>
  <c r="E264"/>
  <c r="E265"/>
  <c r="D267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52"/>
  <c r="E353"/>
  <c r="E354"/>
  <c r="E355"/>
  <c r="E356"/>
  <c r="E357"/>
  <c r="E358"/>
  <c r="E359"/>
  <c r="E360"/>
  <c r="E361"/>
  <c r="E362"/>
  <c r="D364"/>
  <c r="D371"/>
  <c r="K320"/>
  <c r="K321"/>
  <c r="K238"/>
  <c r="K150"/>
  <c r="K151"/>
  <c r="K62"/>
  <c r="K63"/>
  <c r="F166"/>
  <c r="F167"/>
  <c r="F165"/>
  <c r="F168"/>
  <c r="K355"/>
  <c r="K263"/>
  <c r="K239"/>
  <c r="K173"/>
  <c r="D18"/>
  <c r="L151"/>
  <c r="K90"/>
  <c r="F353"/>
  <c r="F354"/>
  <c r="F355"/>
  <c r="F356"/>
  <c r="F357"/>
  <c r="F358"/>
  <c r="F359"/>
  <c r="F360"/>
  <c r="F361"/>
  <c r="F362"/>
  <c r="F352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48"/>
  <c r="F349"/>
  <c r="F350"/>
  <c r="F351"/>
  <c r="F276"/>
  <c r="F262"/>
  <c r="F263"/>
  <c r="F264"/>
  <c r="F265"/>
  <c r="F261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56"/>
  <c r="F257"/>
  <c r="F258"/>
  <c r="F259"/>
  <c r="F260"/>
  <c r="F193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69"/>
  <c r="F170"/>
  <c r="F171"/>
  <c r="F172"/>
  <c r="F173"/>
  <c r="F174"/>
  <c r="F175"/>
  <c r="F176"/>
  <c r="F177"/>
  <c r="F178"/>
  <c r="F179"/>
  <c r="F180"/>
  <c r="F181"/>
  <c r="F182"/>
  <c r="F106"/>
  <c r="F86"/>
  <c r="F87"/>
  <c r="F88"/>
  <c r="F89"/>
  <c r="F90"/>
  <c r="F91"/>
  <c r="F92"/>
  <c r="F93"/>
  <c r="F94"/>
  <c r="F95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31"/>
  <c r="E23"/>
  <c r="B7"/>
  <c r="C7"/>
  <c r="D7"/>
  <c r="E7"/>
  <c r="F19" i="1"/>
  <c r="G19"/>
  <c r="F18"/>
  <c r="G18"/>
  <c r="H18"/>
  <c r="F22"/>
  <c r="G22"/>
  <c r="F21"/>
  <c r="G21"/>
  <c r="H21"/>
  <c r="F25"/>
  <c r="G25"/>
  <c r="F24"/>
  <c r="G24"/>
  <c r="H24"/>
  <c r="F31"/>
  <c r="G31"/>
  <c r="F30"/>
  <c r="G30"/>
  <c r="H30"/>
  <c r="F37"/>
  <c r="G37"/>
  <c r="F36"/>
  <c r="G36"/>
  <c r="H36"/>
  <c r="F43"/>
  <c r="G43"/>
  <c r="F42"/>
  <c r="G42"/>
  <c r="H42"/>
  <c r="F49"/>
  <c r="G49"/>
  <c r="F48"/>
  <c r="G48"/>
  <c r="H48"/>
  <c r="F169"/>
  <c r="G169"/>
  <c r="F168"/>
  <c r="G168"/>
  <c r="H168"/>
  <c r="F175"/>
  <c r="G175"/>
  <c r="F174"/>
  <c r="G174"/>
  <c r="H174"/>
  <c r="F181"/>
  <c r="G181"/>
  <c r="F180"/>
  <c r="G180"/>
  <c r="H180"/>
  <c r="F187"/>
  <c r="G187"/>
  <c r="F186"/>
  <c r="G186"/>
  <c r="H186"/>
  <c r="F193"/>
  <c r="G193"/>
  <c r="F192"/>
  <c r="G192"/>
  <c r="H192"/>
  <c r="F199"/>
  <c r="G199"/>
  <c r="F198"/>
  <c r="G198"/>
  <c r="H198"/>
  <c r="F119"/>
  <c r="G119"/>
  <c r="F118"/>
  <c r="G118"/>
  <c r="H118"/>
  <c r="F125"/>
  <c r="G125"/>
  <c r="F124"/>
  <c r="G124"/>
  <c r="H124"/>
  <c r="F131"/>
  <c r="G131"/>
  <c r="F130"/>
  <c r="G130"/>
  <c r="H130"/>
  <c r="F137"/>
  <c r="G137"/>
  <c r="F136"/>
  <c r="G136"/>
  <c r="H136"/>
  <c r="F143"/>
  <c r="G143"/>
  <c r="F142"/>
  <c r="G142"/>
  <c r="H142"/>
  <c r="F149"/>
  <c r="G149"/>
  <c r="F148"/>
  <c r="G148"/>
  <c r="H148"/>
  <c r="F69"/>
  <c r="G69"/>
  <c r="F68"/>
  <c r="G68"/>
  <c r="H68"/>
  <c r="F75"/>
  <c r="G75"/>
  <c r="F74"/>
  <c r="G74"/>
  <c r="H74"/>
  <c r="F81"/>
  <c r="G81"/>
  <c r="F80"/>
  <c r="G80"/>
  <c r="H80"/>
  <c r="F87"/>
  <c r="G87"/>
  <c r="F86"/>
  <c r="G86"/>
  <c r="H86"/>
  <c r="F93"/>
  <c r="G93"/>
  <c r="F92"/>
  <c r="G92"/>
  <c r="H92"/>
  <c r="F99"/>
  <c r="G99"/>
  <c r="F98"/>
  <c r="G98"/>
  <c r="H98"/>
  <c r="F28"/>
  <c r="G28"/>
  <c r="F27"/>
  <c r="G27"/>
  <c r="H27"/>
  <c r="F34"/>
  <c r="G34"/>
  <c r="F33"/>
  <c r="G33"/>
  <c r="H33"/>
  <c r="F40"/>
  <c r="G40"/>
  <c r="F39"/>
  <c r="G39"/>
  <c r="H39"/>
  <c r="F46"/>
  <c r="G46"/>
  <c r="F45"/>
  <c r="G45"/>
  <c r="H45"/>
  <c r="F52"/>
  <c r="G52"/>
  <c r="F51"/>
  <c r="G51"/>
  <c r="H51"/>
  <c r="F55"/>
  <c r="G55"/>
  <c r="F54"/>
  <c r="G54"/>
  <c r="H54"/>
  <c r="F172"/>
  <c r="G172"/>
  <c r="F171"/>
  <c r="G171"/>
  <c r="H171"/>
  <c r="F178"/>
  <c r="G178"/>
  <c r="F177"/>
  <c r="G177"/>
  <c r="H177"/>
  <c r="F184"/>
  <c r="G184"/>
  <c r="F183"/>
  <c r="G183"/>
  <c r="H183"/>
  <c r="F190"/>
  <c r="G190"/>
  <c r="F189"/>
  <c r="G189"/>
  <c r="H189"/>
  <c r="F196"/>
  <c r="G196"/>
  <c r="F195"/>
  <c r="G195"/>
  <c r="H195"/>
  <c r="F202"/>
  <c r="G202"/>
  <c r="F201"/>
  <c r="G201"/>
  <c r="H201"/>
  <c r="F205"/>
  <c r="G205"/>
  <c r="F204"/>
  <c r="G204"/>
  <c r="F122"/>
  <c r="G122"/>
  <c r="F121"/>
  <c r="G121"/>
  <c r="H121"/>
  <c r="F128"/>
  <c r="G128"/>
  <c r="F127"/>
  <c r="G127"/>
  <c r="F134"/>
  <c r="G134"/>
  <c r="F133"/>
  <c r="G133"/>
  <c r="H133"/>
  <c r="F140"/>
  <c r="G140"/>
  <c r="F139"/>
  <c r="G139"/>
  <c r="F146"/>
  <c r="G146"/>
  <c r="F145"/>
  <c r="G145"/>
  <c r="H145"/>
  <c r="F152"/>
  <c r="G152"/>
  <c r="F151"/>
  <c r="G151"/>
  <c r="F155"/>
  <c r="G155"/>
  <c r="F154"/>
  <c r="G154"/>
  <c r="H154"/>
  <c r="F72"/>
  <c r="G72"/>
  <c r="F71"/>
  <c r="G71"/>
  <c r="F78"/>
  <c r="G78"/>
  <c r="F77"/>
  <c r="G77"/>
  <c r="H77"/>
  <c r="F84"/>
  <c r="G84"/>
  <c r="F83"/>
  <c r="G83"/>
  <c r="F90"/>
  <c r="G90"/>
  <c r="F89"/>
  <c r="G89"/>
  <c r="H89"/>
  <c r="F96"/>
  <c r="G96"/>
  <c r="F95"/>
  <c r="G95"/>
  <c r="H95"/>
  <c r="F102"/>
  <c r="G102"/>
  <c r="F101"/>
  <c r="G101"/>
  <c r="H101"/>
  <c r="F105"/>
  <c r="G105"/>
  <c r="F104"/>
  <c r="G104"/>
  <c r="H104"/>
  <c r="B208"/>
  <c r="B158"/>
  <c r="B108"/>
  <c r="B58"/>
  <c r="H71"/>
  <c r="H151"/>
  <c r="H127"/>
  <c r="H139"/>
  <c r="B160"/>
  <c r="D162"/>
  <c r="H204"/>
  <c r="B210"/>
  <c r="D212"/>
  <c r="B109"/>
  <c r="D111"/>
  <c r="B159"/>
  <c r="D161"/>
  <c r="B209"/>
  <c r="D211"/>
  <c r="B60"/>
  <c r="D62"/>
  <c r="H83"/>
  <c r="B59"/>
  <c r="D61"/>
  <c r="D63"/>
  <c r="F218"/>
  <c r="D213"/>
  <c r="D163"/>
  <c r="B110"/>
  <c r="D112"/>
  <c r="F219"/>
  <c r="F220"/>
  <c r="D113"/>
  <c r="H225" i="3"/>
  <c r="H223"/>
  <c r="H221"/>
  <c r="H219"/>
  <c r="H217"/>
  <c r="E230"/>
  <c r="E229"/>
  <c r="F230"/>
  <c r="F229"/>
  <c r="F216"/>
  <c r="E216"/>
  <c r="G216"/>
  <c r="D208"/>
  <c r="F202"/>
  <c r="G201"/>
  <c r="F195"/>
  <c r="F196"/>
  <c r="G195"/>
  <c r="F165"/>
  <c r="F166"/>
  <c r="G165"/>
  <c r="F169"/>
  <c r="G168"/>
  <c r="F171"/>
  <c r="F172"/>
  <c r="G171"/>
  <c r="F175"/>
  <c r="G174"/>
  <c r="F177"/>
  <c r="F178"/>
  <c r="G177"/>
  <c r="F181"/>
  <c r="G180"/>
  <c r="F183"/>
  <c r="F184"/>
  <c r="G183"/>
  <c r="F187"/>
  <c r="G186"/>
  <c r="F189"/>
  <c r="F190"/>
  <c r="G189"/>
  <c r="F193"/>
  <c r="G192"/>
  <c r="F199"/>
  <c r="G198"/>
  <c r="B206"/>
  <c r="F168"/>
  <c r="H168"/>
  <c r="F174"/>
  <c r="H174"/>
  <c r="F180"/>
  <c r="H180"/>
  <c r="F186"/>
  <c r="H186"/>
  <c r="F192"/>
  <c r="H192"/>
  <c r="F198"/>
  <c r="H198"/>
  <c r="F201"/>
  <c r="H201"/>
  <c r="B207"/>
  <c r="D210"/>
  <c r="F48"/>
  <c r="F99"/>
  <c r="F150"/>
  <c r="E228"/>
  <c r="F228"/>
  <c r="D209"/>
  <c r="F114"/>
  <c r="F115"/>
  <c r="G114"/>
  <c r="F118"/>
  <c r="G117"/>
  <c r="F120"/>
  <c r="F121"/>
  <c r="G120"/>
  <c r="F124"/>
  <c r="G123"/>
  <c r="F126"/>
  <c r="F127"/>
  <c r="G126"/>
  <c r="F130"/>
  <c r="G129"/>
  <c r="F132"/>
  <c r="F133"/>
  <c r="G132"/>
  <c r="F136"/>
  <c r="G135"/>
  <c r="F138"/>
  <c r="F139"/>
  <c r="G138"/>
  <c r="F142"/>
  <c r="G141"/>
  <c r="F144"/>
  <c r="F145"/>
  <c r="G144"/>
  <c r="F148"/>
  <c r="G147"/>
  <c r="F151"/>
  <c r="G150"/>
  <c r="B155"/>
  <c r="D158"/>
  <c r="F63"/>
  <c r="F64"/>
  <c r="G63"/>
  <c r="F67"/>
  <c r="G66"/>
  <c r="F69"/>
  <c r="F70"/>
  <c r="G69"/>
  <c r="F73"/>
  <c r="G72"/>
  <c r="F75"/>
  <c r="F76"/>
  <c r="G75"/>
  <c r="F79"/>
  <c r="G78"/>
  <c r="F81"/>
  <c r="F82"/>
  <c r="G81"/>
  <c r="F85"/>
  <c r="G84"/>
  <c r="F87"/>
  <c r="F88"/>
  <c r="G87"/>
  <c r="F91"/>
  <c r="G90"/>
  <c r="F93"/>
  <c r="F94"/>
  <c r="G93"/>
  <c r="F97"/>
  <c r="G96"/>
  <c r="F100"/>
  <c r="G99"/>
  <c r="B104"/>
  <c r="D107"/>
  <c r="F12"/>
  <c r="F13"/>
  <c r="G12"/>
  <c r="F16"/>
  <c r="G15"/>
  <c r="F18"/>
  <c r="F19"/>
  <c r="G18"/>
  <c r="F22"/>
  <c r="G21"/>
  <c r="F24"/>
  <c r="F25"/>
  <c r="G24"/>
  <c r="F28"/>
  <c r="G27"/>
  <c r="F30"/>
  <c r="F31"/>
  <c r="G30"/>
  <c r="F34"/>
  <c r="G33"/>
  <c r="F36"/>
  <c r="F37"/>
  <c r="G36"/>
  <c r="F40"/>
  <c r="G39"/>
  <c r="F42"/>
  <c r="F43"/>
  <c r="G42"/>
  <c r="F46"/>
  <c r="G45"/>
  <c r="F49"/>
  <c r="G48"/>
  <c r="B53"/>
  <c r="D56"/>
  <c r="F243"/>
  <c r="F15"/>
  <c r="H15"/>
  <c r="F21"/>
  <c r="H21"/>
  <c r="F27"/>
  <c r="H27"/>
  <c r="F33"/>
  <c r="H33"/>
  <c r="F39"/>
  <c r="H39"/>
  <c r="F45"/>
  <c r="H45"/>
  <c r="H48"/>
  <c r="B54"/>
  <c r="B52"/>
  <c r="D55"/>
  <c r="B205"/>
  <c r="B154"/>
  <c r="D157"/>
  <c r="B103"/>
  <c r="D106"/>
  <c r="F242"/>
  <c r="D57"/>
  <c r="F117"/>
  <c r="H117"/>
  <c r="F123"/>
  <c r="H123"/>
  <c r="F129"/>
  <c r="H129"/>
  <c r="F135"/>
  <c r="H135"/>
  <c r="F141"/>
  <c r="H141"/>
  <c r="F147"/>
  <c r="H147"/>
  <c r="H150"/>
  <c r="B156"/>
  <c r="D159"/>
  <c r="F66"/>
  <c r="H66"/>
  <c r="F72"/>
  <c r="H72"/>
  <c r="F78"/>
  <c r="H78"/>
  <c r="F84"/>
  <c r="H84"/>
  <c r="F90"/>
  <c r="H90"/>
  <c r="F96"/>
  <c r="H96"/>
  <c r="H99"/>
  <c r="B105"/>
  <c r="D108"/>
  <c r="F244"/>
  <c r="E217"/>
  <c r="E219"/>
  <c r="G218"/>
  <c r="E221"/>
  <c r="G220"/>
  <c r="E223"/>
  <c r="G222"/>
  <c r="E225"/>
  <c r="G224"/>
  <c r="E227"/>
  <c r="G226"/>
  <c r="G229"/>
  <c r="C233"/>
  <c r="E226"/>
  <c r="E224"/>
  <c r="E222"/>
  <c r="B236"/>
  <c r="E220"/>
  <c r="E218"/>
  <c r="F222"/>
  <c r="B238"/>
  <c r="F224"/>
  <c r="F218"/>
  <c r="B234"/>
  <c r="F226"/>
  <c r="F220"/>
  <c r="B237"/>
  <c r="B235"/>
  <c r="B233"/>
  <c r="F245"/>
  <c r="G230"/>
  <c r="C239"/>
  <c r="C236"/>
  <c r="C238"/>
  <c r="C237"/>
  <c r="C234"/>
  <c r="C235"/>
  <c r="E130" i="4"/>
  <c r="H130"/>
  <c r="I130"/>
  <c r="J130"/>
  <c r="E120"/>
  <c r="H120"/>
  <c r="E121"/>
  <c r="H121"/>
  <c r="E122"/>
  <c r="H122"/>
  <c r="E123"/>
  <c r="H123"/>
  <c r="E124"/>
  <c r="H124"/>
  <c r="E125"/>
  <c r="H125"/>
  <c r="E126"/>
  <c r="H126"/>
  <c r="E127"/>
  <c r="H127"/>
  <c r="E128"/>
  <c r="H128"/>
  <c r="E129"/>
  <c r="H129"/>
  <c r="I120"/>
  <c r="J124"/>
  <c r="E117"/>
  <c r="H117"/>
  <c r="E118"/>
  <c r="H118"/>
  <c r="E119"/>
  <c r="H119"/>
  <c r="I117"/>
  <c r="J118"/>
  <c r="E105"/>
  <c r="H105"/>
  <c r="E106"/>
  <c r="H106"/>
  <c r="E107"/>
  <c r="H107"/>
  <c r="E108"/>
  <c r="H108"/>
  <c r="E109"/>
  <c r="H109"/>
  <c r="E110"/>
  <c r="H110"/>
  <c r="E111"/>
  <c r="H111"/>
  <c r="E112"/>
  <c r="H112"/>
  <c r="E113"/>
  <c r="H113"/>
  <c r="E114"/>
  <c r="H114"/>
  <c r="E115"/>
  <c r="H115"/>
  <c r="E116"/>
  <c r="H116"/>
  <c r="I105"/>
  <c r="J111"/>
  <c r="D55"/>
  <c r="E59"/>
  <c r="H59"/>
  <c r="E55"/>
  <c r="H55"/>
  <c r="I55"/>
  <c r="E60"/>
  <c r="H60"/>
  <c r="I60"/>
  <c r="J60"/>
  <c r="J57"/>
  <c r="E53"/>
  <c r="H53"/>
  <c r="E54"/>
  <c r="H54"/>
  <c r="I53"/>
  <c r="J54"/>
  <c r="E42"/>
  <c r="H42"/>
  <c r="E43"/>
  <c r="H43"/>
  <c r="E44"/>
  <c r="H44"/>
  <c r="E45"/>
  <c r="H45"/>
  <c r="E46"/>
  <c r="H46"/>
  <c r="E47"/>
  <c r="H47"/>
  <c r="E48"/>
  <c r="H48"/>
  <c r="E49"/>
  <c r="H49"/>
  <c r="E50"/>
  <c r="H50"/>
  <c r="E51"/>
  <c r="H51"/>
  <c r="E52"/>
  <c r="H52"/>
  <c r="I42"/>
  <c r="J47"/>
  <c r="E95"/>
  <c r="H95"/>
  <c r="I95"/>
  <c r="J95"/>
  <c r="E87"/>
  <c r="H87"/>
  <c r="E88"/>
  <c r="H88"/>
  <c r="E89"/>
  <c r="H89"/>
  <c r="E90"/>
  <c r="H90"/>
  <c r="E91"/>
  <c r="H91"/>
  <c r="E92"/>
  <c r="H92"/>
  <c r="E93"/>
  <c r="H93"/>
  <c r="E94"/>
  <c r="H94"/>
  <c r="I87"/>
  <c r="J90"/>
  <c r="E82"/>
  <c r="H82"/>
  <c r="E83"/>
  <c r="H83"/>
  <c r="E84"/>
  <c r="H84"/>
  <c r="E85"/>
  <c r="H85"/>
  <c r="E86"/>
  <c r="H86"/>
  <c r="I82"/>
  <c r="J83"/>
  <c r="E70"/>
  <c r="H70"/>
  <c r="E71"/>
  <c r="H71"/>
  <c r="E72"/>
  <c r="H72"/>
  <c r="E73"/>
  <c r="H73"/>
  <c r="E74"/>
  <c r="H74"/>
  <c r="E75"/>
  <c r="H75"/>
  <c r="E76"/>
  <c r="H76"/>
  <c r="E77"/>
  <c r="H77"/>
  <c r="E78"/>
  <c r="H78"/>
  <c r="E79"/>
  <c r="H79"/>
  <c r="E80"/>
  <c r="H80"/>
  <c r="E81"/>
  <c r="H81"/>
  <c r="I70"/>
  <c r="J75"/>
  <c r="C98"/>
  <c r="D18"/>
  <c r="C133"/>
  <c r="C63"/>
  <c r="D53"/>
  <c r="D42"/>
  <c r="E56"/>
  <c r="E58"/>
  <c r="H58"/>
  <c r="E57"/>
  <c r="H57"/>
  <c r="H56"/>
  <c r="C35"/>
  <c r="E27"/>
  <c r="H27"/>
  <c r="E28"/>
  <c r="H28"/>
  <c r="E29"/>
  <c r="H29"/>
  <c r="E30"/>
  <c r="H30"/>
  <c r="I2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I18"/>
  <c r="C134"/>
  <c r="E31"/>
  <c r="H31"/>
  <c r="I31"/>
  <c r="E32"/>
  <c r="H32"/>
  <c r="I32"/>
  <c r="C36"/>
  <c r="C64"/>
  <c r="C99"/>
  <c r="C100"/>
  <c r="C138"/>
  <c r="C139"/>
  <c r="D120"/>
  <c r="D82"/>
  <c r="D117"/>
  <c r="D105"/>
  <c r="C135"/>
  <c r="C65"/>
  <c r="C37"/>
  <c r="D130"/>
  <c r="D95"/>
  <c r="D87"/>
  <c r="D70"/>
  <c r="D60"/>
  <c r="D32"/>
  <c r="D31"/>
  <c r="D27"/>
  <c r="C137"/>
</calcChain>
</file>

<file path=xl/sharedStrings.xml><?xml version="1.0" encoding="utf-8"?>
<sst xmlns="http://schemas.openxmlformats.org/spreadsheetml/2006/main" count="1920" uniqueCount="657">
  <si>
    <t>Lights</t>
    <phoneticPr fontId="8" type="noConversion"/>
  </si>
  <si>
    <t>Grid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</si>
  <si>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</si>
  <si>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Large Potted</t>
    <phoneticPr fontId="8" type="noConversion"/>
  </si>
  <si>
    <t>Small Potted</t>
    <phoneticPr fontId="8" type="noConversion"/>
  </si>
  <si>
    <t>Fluorescant: 4-bar</t>
    <phoneticPr fontId="8" type="noConversion"/>
  </si>
  <si>
    <t>Fluorescant: 2-bar</t>
    <phoneticPr fontId="8" type="noConversion"/>
  </si>
  <si>
    <r>
      <t>TOTAL NET EMISSIONS [STEAM]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-eq/GJ)</t>
    </r>
    <phoneticPr fontId="8" type="noConversion"/>
  </si>
  <si>
    <r>
      <t>TOTAL NET EMISSIONS [ALL]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-eq)</t>
    </r>
    <phoneticPr fontId="8" type="noConversion"/>
  </si>
  <si>
    <t>ENERGY AUDIT BMH</t>
    <phoneticPr fontId="8" type="noConversion"/>
  </si>
  <si>
    <t>Energy Stream</t>
    <phoneticPr fontId="8" type="noConversion"/>
  </si>
  <si>
    <t>Energy Type</t>
    <phoneticPr fontId="8" type="noConversion"/>
  </si>
  <si>
    <t>Energy User</t>
    <phoneticPr fontId="8" type="noConversion"/>
  </si>
  <si>
    <t>Use (kWh/yr)</t>
    <phoneticPr fontId="8" type="noConversion"/>
  </si>
  <si>
    <t>Use (GJ/yr)</t>
    <phoneticPr fontId="8" type="noConversion"/>
  </si>
  <si>
    <r>
      <t>Use (m</t>
    </r>
    <r>
      <rPr>
        <b/>
        <vertAlign val="superscript"/>
        <sz val="10"/>
        <rFont val="Times New Roman"/>
      </rPr>
      <t>3</t>
    </r>
    <r>
      <rPr>
        <b/>
        <sz val="10"/>
        <rFont val="Times New Roman"/>
      </rPr>
      <t>/yr)</t>
    </r>
    <phoneticPr fontId="8" type="noConversion"/>
  </si>
  <si>
    <t>Fridge (sliding door in back)</t>
    <phoneticPr fontId="8" type="noConversion"/>
  </si>
  <si>
    <t>TV</t>
    <phoneticPr fontId="8" type="noConversion"/>
  </si>
  <si>
    <t>Fridge (sliding door in front)</t>
    <phoneticPr fontId="8" type="noConversion"/>
  </si>
  <si>
    <t>Fridge (4 drawer cupboard)</t>
    <phoneticPr fontId="8" type="noConversion"/>
  </si>
  <si>
    <t>Fridge (2 drawer)</t>
    <phoneticPr fontId="8" type="noConversion"/>
  </si>
  <si>
    <t>Fume Hood</t>
    <phoneticPr fontId="8" type="noConversion"/>
  </si>
  <si>
    <t>Soup Warmer</t>
    <phoneticPr fontId="8" type="noConversion"/>
  </si>
  <si>
    <t>Fridge (3 door in front)</t>
    <phoneticPr fontId="8" type="noConversion"/>
  </si>
  <si>
    <t>Nat. Gas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</si>
  <si>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-eq/m</t>
    </r>
    <r>
      <rPr>
        <vertAlign val="superscript"/>
        <sz val="10"/>
        <rFont val="Times New Roman"/>
      </rPr>
      <t>3</t>
    </r>
    <phoneticPr fontId="8" type="noConversion"/>
  </si>
  <si>
    <t>Tilting Braising Pan</t>
    <phoneticPr fontId="8" type="noConversion"/>
  </si>
  <si>
    <t>Fridge</t>
    <phoneticPr fontId="8" type="noConversion"/>
  </si>
  <si>
    <t>Flat Grill</t>
    <phoneticPr fontId="8" type="noConversion"/>
  </si>
  <si>
    <t>Hot Plate</t>
    <phoneticPr fontId="8" type="noConversion"/>
  </si>
  <si>
    <t>Fridge (double door)</t>
    <phoneticPr fontId="8" type="noConversion"/>
  </si>
  <si>
    <t>Lights</t>
    <phoneticPr fontId="8" type="noConversion"/>
  </si>
  <si>
    <t>Grid</t>
    <phoneticPr fontId="8" type="noConversion"/>
  </si>
  <si>
    <t>Nat.Gas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</si>
  <si>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-eq/m</t>
    </r>
    <r>
      <rPr>
        <vertAlign val="superscript"/>
        <sz val="10"/>
        <rFont val="Times New Roman"/>
      </rPr>
      <t>3</t>
    </r>
    <phoneticPr fontId="8" type="noConversion"/>
  </si>
  <si>
    <t xml:space="preserve">Oven </t>
    <phoneticPr fontId="8" type="noConversion"/>
  </si>
  <si>
    <t>Steam</t>
    <phoneticPr fontId="8" type="noConversion"/>
  </si>
  <si>
    <t xml:space="preserve">Grid </t>
    <phoneticPr fontId="8" type="noConversion"/>
  </si>
  <si>
    <t>TOTAL ENERGY USED (GJ/yr)</t>
    <phoneticPr fontId="8" type="noConversion"/>
  </si>
  <si>
    <r>
      <t>TOTAL NET EMISSIONS [GRID]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-eq/kWh)</t>
    </r>
    <phoneticPr fontId="8" type="noConversion"/>
  </si>
  <si>
    <r>
      <t>TOTAL NET EMISSIONS [NAT. GAS]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-eq/m3)</t>
    </r>
    <phoneticPr fontId="8" type="noConversion"/>
  </si>
  <si>
    <r>
      <t>TOTAL NET EMISSIONS [STEAM]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-eq/GJ)</t>
    </r>
    <phoneticPr fontId="8" type="noConversion"/>
  </si>
  <si>
    <t>Energy Stream</t>
    <phoneticPr fontId="8" type="noConversion"/>
  </si>
  <si>
    <t>Energy Type</t>
    <phoneticPr fontId="8" type="noConversion"/>
  </si>
  <si>
    <t>Energy User</t>
    <phoneticPr fontId="8" type="noConversion"/>
  </si>
  <si>
    <t>Use (kWh/yr)</t>
    <phoneticPr fontId="8" type="noConversion"/>
  </si>
  <si>
    <t>Use (GJ/yr)</t>
    <phoneticPr fontId="8" type="noConversion"/>
  </si>
  <si>
    <r>
      <t>Use (m</t>
    </r>
    <r>
      <rPr>
        <b/>
        <vertAlign val="superscript"/>
        <sz val="10"/>
        <rFont val="Times New Roman"/>
      </rPr>
      <t>3</t>
    </r>
    <r>
      <rPr>
        <b/>
        <sz val="10"/>
        <rFont val="Times New Roman"/>
      </rPr>
      <t>/yr)</t>
    </r>
    <phoneticPr fontId="8" type="noConversion"/>
  </si>
  <si>
    <t>Emission Factor</t>
    <phoneticPr fontId="8" type="noConversion"/>
  </si>
  <si>
    <t>Net Emissions</t>
    <phoneticPr fontId="8" type="noConversion"/>
  </si>
  <si>
    <t>Total for Stream</t>
    <phoneticPr fontId="8" type="noConversion"/>
  </si>
  <si>
    <t>NE units</t>
    <phoneticPr fontId="8" type="noConversion"/>
  </si>
  <si>
    <t>Appliances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</si>
  <si>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</si>
  <si>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Fridge-desserts (sliding door)</t>
    <phoneticPr fontId="8" type="noConversion"/>
  </si>
  <si>
    <t>Fridge (2 solid door)</t>
    <phoneticPr fontId="8" type="noConversion"/>
  </si>
  <si>
    <t>Fridge-squash (sliding door)</t>
    <phoneticPr fontId="8" type="noConversion"/>
  </si>
  <si>
    <t>2X Fridge- sandwiches (sliding glass)</t>
    <phoneticPr fontId="8" type="noConversion"/>
  </si>
  <si>
    <t>Fridge (2 glass doors)</t>
    <phoneticPr fontId="8" type="noConversion"/>
  </si>
  <si>
    <t>Fridge (2.5 solid door)</t>
    <phoneticPr fontId="8" type="noConversion"/>
  </si>
  <si>
    <t>Fridge drawer (2 solid door)</t>
    <phoneticPr fontId="8" type="noConversion"/>
  </si>
  <si>
    <t>DRINK fridge (1 glass door)</t>
    <phoneticPr fontId="8" type="noConversion"/>
  </si>
  <si>
    <t>milk/yogurt/sandwiches transparent fridge (2 doors)</t>
    <phoneticPr fontId="8" type="noConversion"/>
  </si>
  <si>
    <t>open fridge-pop drinks and assorted (2 doors)</t>
    <phoneticPr fontId="8" type="noConversion"/>
  </si>
  <si>
    <t>Open small sushi fridge (no door)</t>
    <phoneticPr fontId="8" type="noConversion"/>
  </si>
  <si>
    <t>Cake display fridge (sliding glass)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</si>
  <si>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</si>
  <si>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Display fridge for sandwiches (curved sliding glass)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</si>
  <si>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</si>
  <si>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TV</t>
    <phoneticPr fontId="8" type="noConversion"/>
  </si>
  <si>
    <t>Meat Slicer</t>
    <phoneticPr fontId="8" type="noConversion"/>
  </si>
  <si>
    <t>Big Mixer</t>
    <phoneticPr fontId="8" type="noConversion"/>
  </si>
  <si>
    <t>Nat. Gas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</si>
  <si>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-eq/m</t>
    </r>
    <r>
      <rPr>
        <vertAlign val="superscript"/>
        <sz val="10"/>
        <rFont val="Times New Roman"/>
      </rPr>
      <t>3</t>
    </r>
    <phoneticPr fontId="8" type="noConversion"/>
  </si>
  <si>
    <t>Steam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</si>
  <si>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-eq/GJ</t>
    </r>
    <phoneticPr fontId="8" type="noConversion"/>
  </si>
  <si>
    <t>Emission Factor [Grid] gCO2 eq/kWh</t>
    <phoneticPr fontId="8" type="noConversion"/>
  </si>
  <si>
    <t>Emission Factor [Natural Gas] gCO2 eq/m3</t>
    <phoneticPr fontId="8" type="noConversion"/>
  </si>
  <si>
    <t>Emission Factor [Steam] gCO2 eq/GJ</t>
    <phoneticPr fontId="8" type="noConversion"/>
  </si>
  <si>
    <t>gCO2e/lb</t>
    <phoneticPr fontId="8" type="noConversion"/>
  </si>
  <si>
    <t>Conversion factor</t>
    <phoneticPr fontId="8" type="noConversion"/>
  </si>
  <si>
    <t>GJ/lb</t>
    <phoneticPr fontId="8" type="noConversion"/>
  </si>
  <si>
    <t>Conversions</t>
    <phoneticPr fontId="8" type="noConversion"/>
  </si>
  <si>
    <t>From</t>
    <phoneticPr fontId="8" type="noConversion"/>
  </si>
  <si>
    <t>Unit</t>
    <phoneticPr fontId="8" type="noConversion"/>
  </si>
  <si>
    <t>To</t>
    <phoneticPr fontId="8" type="noConversion"/>
  </si>
  <si>
    <t>Multiply by</t>
    <phoneticPr fontId="8" type="noConversion"/>
  </si>
  <si>
    <t>kWh</t>
    <phoneticPr fontId="8" type="noConversion"/>
  </si>
  <si>
    <t>GJ</t>
    <phoneticPr fontId="8" type="noConversion"/>
  </si>
  <si>
    <t>cu.m. nat gas</t>
    <phoneticPr fontId="8" type="noConversion"/>
  </si>
  <si>
    <t>Energy Type</t>
    <phoneticPr fontId="8" type="noConversion"/>
  </si>
  <si>
    <t>Use (kWh/yr)</t>
    <phoneticPr fontId="8" type="noConversion"/>
  </si>
  <si>
    <t>Appliances</t>
    <phoneticPr fontId="8" type="noConversion"/>
  </si>
  <si>
    <t>Grid</t>
    <phoneticPr fontId="8" type="noConversion"/>
  </si>
  <si>
    <t>Emission Factor</t>
    <phoneticPr fontId="8" type="noConversion"/>
  </si>
  <si>
    <t>Net Emissions</t>
    <phoneticPr fontId="8" type="noConversion"/>
  </si>
  <si>
    <t>Total for Stream</t>
    <phoneticPr fontId="8" type="noConversion"/>
  </si>
  <si>
    <t>NE units</t>
    <phoneticPr fontId="8" type="noConversion"/>
  </si>
  <si>
    <t>2-door Stand-up Freezer</t>
    <phoneticPr fontId="8" type="noConversion"/>
  </si>
  <si>
    <t>Microwave</t>
    <phoneticPr fontId="8" type="noConversion"/>
  </si>
  <si>
    <t>Ice Maker</t>
    <phoneticPr fontId="8" type="noConversion"/>
  </si>
  <si>
    <t>Coffee (Right Side)</t>
    <phoneticPr fontId="8" type="noConversion"/>
  </si>
  <si>
    <t>Coffee (Middle)</t>
    <phoneticPr fontId="8" type="noConversion"/>
  </si>
  <si>
    <t>Toaster</t>
    <phoneticPr fontId="8" type="noConversion"/>
  </si>
  <si>
    <t>Servery Appliances</t>
    <phoneticPr fontId="8" type="noConversion"/>
  </si>
  <si>
    <t>Coffee</t>
    <phoneticPr fontId="8" type="noConversion"/>
  </si>
  <si>
    <t>Beverage dispenser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</si>
  <si>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-eq/GJ</t>
    </r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</si>
  <si>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</si>
  <si>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TOTAL ENERGY USED (GJ/yr)</t>
    <phoneticPr fontId="8" type="noConversion"/>
  </si>
  <si>
    <r>
      <t>TOTAL NET EMISSIONS [GRID]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-eq/kWh)</t>
    </r>
    <phoneticPr fontId="8" type="noConversion"/>
  </si>
  <si>
    <r>
      <t>TOTAL NET EMISSIONS [NAT. GAS]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-eq/m3)</t>
    </r>
    <phoneticPr fontId="8" type="noConversion"/>
  </si>
  <si>
    <r>
      <t>TOTAL NET EMISSIONS [STEAM]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-eq/GJ)</t>
    </r>
    <phoneticPr fontId="8" type="noConversion"/>
  </si>
  <si>
    <r>
      <t>TOTAL NET EMISSIONS [ALL]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-eq)</t>
    </r>
    <phoneticPr fontId="8" type="noConversion"/>
  </si>
  <si>
    <t>Energy Stream</t>
    <phoneticPr fontId="8" type="noConversion"/>
  </si>
  <si>
    <t>Energy Type</t>
    <phoneticPr fontId="8" type="noConversion"/>
  </si>
  <si>
    <t>Energy User</t>
    <phoneticPr fontId="8" type="noConversion"/>
  </si>
  <si>
    <t>Use (kWh/yr)</t>
    <phoneticPr fontId="8" type="noConversion"/>
  </si>
  <si>
    <t>Use (GJ/yr)</t>
    <phoneticPr fontId="8" type="noConversion"/>
  </si>
  <si>
    <r>
      <t>Use (m</t>
    </r>
    <r>
      <rPr>
        <b/>
        <vertAlign val="superscript"/>
        <sz val="10"/>
        <rFont val="Times New Roman"/>
      </rPr>
      <t>3</t>
    </r>
    <r>
      <rPr>
        <b/>
        <sz val="10"/>
        <rFont val="Times New Roman"/>
      </rPr>
      <t>/yr)</t>
    </r>
    <phoneticPr fontId="8" type="noConversion"/>
  </si>
  <si>
    <t>Emission Factor</t>
    <phoneticPr fontId="8" type="noConversion"/>
  </si>
  <si>
    <t>Net Emissions</t>
    <phoneticPr fontId="8" type="noConversion"/>
  </si>
  <si>
    <t>Total for Stream</t>
    <phoneticPr fontId="8" type="noConversion"/>
  </si>
  <si>
    <t>NE units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</si>
  <si>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</si>
  <si>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Fridge</t>
    <phoneticPr fontId="8" type="noConversion"/>
  </si>
  <si>
    <t>Warmer</t>
    <phoneticPr fontId="8" type="noConversion"/>
  </si>
  <si>
    <t>Hot Plate</t>
    <phoneticPr fontId="8" type="noConversion"/>
  </si>
  <si>
    <t>Dishwasher Motor</t>
    <phoneticPr fontId="8" type="noConversion"/>
  </si>
  <si>
    <t>Oven (?)</t>
    <phoneticPr fontId="8" type="noConversion"/>
  </si>
  <si>
    <t>Sushi fridge (open door)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</si>
  <si>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</si>
  <si>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</si>
  <si>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Oven (double door)</t>
    <phoneticPr fontId="8" type="noConversion"/>
  </si>
  <si>
    <t>Fridge (double door)</t>
    <phoneticPr fontId="8" type="noConversion"/>
  </si>
  <si>
    <t>Fridge (4 drawer cupboard)</t>
    <phoneticPr fontId="8" type="noConversion"/>
  </si>
  <si>
    <t>Fridge (3 drawer cupboard)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</si>
  <si>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</si>
  <si>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Fridge (drawer fridges)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</si>
  <si>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</si>
  <si>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Ice Maker</t>
    <phoneticPr fontId="8" type="noConversion"/>
  </si>
  <si>
    <t>Oven</t>
    <phoneticPr fontId="8" type="noConversion"/>
  </si>
  <si>
    <t>Fridge (attached to Fr3)</t>
  </si>
  <si>
    <t>Source: PGSS &amp; US Environmental Protection Agency</t>
    <phoneticPr fontId="8" type="noConversion"/>
  </si>
  <si>
    <t>Fridge</t>
  </si>
  <si>
    <t>Oven (3 door oven)</t>
  </si>
  <si>
    <t>Oven, 2-piece convection</t>
  </si>
  <si>
    <t>2-set Oven (combi)</t>
  </si>
  <si>
    <t>Oven (for bread)</t>
  </si>
  <si>
    <t>Large holder #1</t>
  </si>
  <si>
    <t>Large holder #2</t>
  </si>
  <si>
    <t>Warmer</t>
  </si>
  <si>
    <t>Warmer (Hamburgers)</t>
  </si>
  <si>
    <t>Warmer (pizza)</t>
  </si>
  <si>
    <t>Grill</t>
  </si>
  <si>
    <t>Deep Cleanings</t>
  </si>
  <si>
    <t>Handwashing</t>
  </si>
  <si>
    <t>Heated Water for Cooking</t>
  </si>
  <si>
    <t>Water Used (L/year)</t>
  </si>
  <si>
    <t>Total Water Used by Type (L/year)</t>
    <phoneticPr fontId="8" type="noConversion"/>
  </si>
  <si>
    <t>TOTAL WATER USED (L/year):</t>
    <phoneticPr fontId="8" type="noConversion"/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</si>
  <si>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</si>
  <si>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TOTAL ENERGY USED (GJ/yr)</t>
    <phoneticPr fontId="8" type="noConversion"/>
  </si>
  <si>
    <r>
      <t>TOTAL NET EMISSIONS [GRID]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-eq/kWh)</t>
    </r>
    <phoneticPr fontId="8" type="noConversion"/>
  </si>
  <si>
    <r>
      <t>TOTAL NET EMISSIONS [NAT. GAS]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-eq/m3)</t>
    </r>
    <phoneticPr fontId="8" type="noConversion"/>
  </si>
  <si>
    <r>
      <t>TOTAL NET EMISSIONS [STEAM]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-eq/GJ)</t>
    </r>
    <phoneticPr fontId="8" type="noConversion"/>
  </si>
  <si>
    <r>
      <t>TOTAL NET EMISSIONS [ALL] (tCO</t>
    </r>
    <r>
      <rPr>
        <vertAlign val="subscript"/>
        <sz val="10"/>
        <rFont val="Times New Roman"/>
      </rPr>
      <t>2</t>
    </r>
    <r>
      <rPr>
        <sz val="10"/>
        <rFont val="Times New Roman"/>
      </rPr>
      <t>-eq)</t>
    </r>
    <phoneticPr fontId="8" type="noConversion"/>
  </si>
  <si>
    <t>ENERGY AUDIT RVC</t>
    <phoneticPr fontId="8" type="noConversion"/>
  </si>
  <si>
    <r>
      <t>Use (M</t>
    </r>
    <r>
      <rPr>
        <b/>
        <vertAlign val="superscript"/>
        <sz val="10"/>
        <rFont val="Verdana"/>
        <family val="2"/>
      </rPr>
      <t>3</t>
    </r>
    <r>
      <rPr>
        <b/>
        <sz val="10"/>
        <rFont val="Verdana"/>
      </rPr>
      <t>)</t>
    </r>
    <phoneticPr fontId="8" type="noConversion"/>
  </si>
  <si>
    <r>
      <t>Net Emissions (kgCO</t>
    </r>
    <r>
      <rPr>
        <b/>
        <vertAlign val="subscript"/>
        <sz val="10"/>
        <rFont val="Times New Roman"/>
      </rPr>
      <t>2</t>
    </r>
    <r>
      <rPr>
        <b/>
        <sz val="10"/>
        <rFont val="Times New Roman"/>
      </rPr>
      <t>e)</t>
    </r>
    <phoneticPr fontId="8" type="noConversion"/>
  </si>
  <si>
    <t>Totals (kgCO2e)</t>
    <phoneticPr fontId="8" type="noConversion"/>
  </si>
  <si>
    <t>Soup (L-high)</t>
    <phoneticPr fontId="8" type="noConversion"/>
  </si>
  <si>
    <t>Stews (D-high)</t>
    <phoneticPr fontId="8" type="noConversion"/>
  </si>
  <si>
    <t>Conversions:</t>
    <phoneticPr fontId="8" type="noConversion"/>
  </si>
  <si>
    <t>Kg to MT</t>
    <phoneticPr fontId="8" type="noConversion"/>
  </si>
  <si>
    <t>1=</t>
    <phoneticPr fontId="8" type="noConversion"/>
  </si>
  <si>
    <t>WASTE AUDIT CS</t>
    <phoneticPr fontId="8" type="noConversion"/>
  </si>
  <si>
    <t xml:space="preserve">Big pot </t>
  </si>
  <si>
    <t>Landfill, Nat'l Average (US)</t>
    <phoneticPr fontId="8" type="noConversion"/>
  </si>
  <si>
    <t>Hobart ©</t>
  </si>
  <si>
    <t>Waste Audit NRH</t>
    <phoneticPr fontId="8" type="noConversion"/>
  </si>
  <si>
    <r>
      <t>Water Used (m</t>
    </r>
    <r>
      <rPr>
        <b/>
        <vertAlign val="superscript"/>
        <sz val="10"/>
        <rFont val="Times New Roman"/>
      </rPr>
      <t>3</t>
    </r>
    <r>
      <rPr>
        <b/>
        <sz val="10"/>
        <rFont val="Times New Roman"/>
      </rPr>
      <t>)</t>
    </r>
    <phoneticPr fontId="8" type="noConversion"/>
  </si>
  <si>
    <t>Emission Factor [Supply]</t>
    <phoneticPr fontId="8" type="noConversion"/>
  </si>
  <si>
    <t>Emission Factor [Treatment]</t>
    <phoneticPr fontId="8" type="noConversion"/>
  </si>
  <si>
    <r>
      <t>Net Emissions (kg CO</t>
    </r>
    <r>
      <rPr>
        <b/>
        <vertAlign val="subscript"/>
        <sz val="10"/>
        <rFont val="Times New Roman"/>
      </rPr>
      <t>2</t>
    </r>
    <r>
      <rPr>
        <b/>
        <sz val="10"/>
        <rFont val="Times New Roman"/>
      </rPr>
      <t>e)</t>
    </r>
    <phoneticPr fontId="8" type="noConversion"/>
  </si>
  <si>
    <t>Totals (kgCO2e)</t>
    <phoneticPr fontId="8" type="noConversion"/>
  </si>
  <si>
    <t>Stew (L-medium)</t>
    <phoneticPr fontId="8" type="noConversion"/>
  </si>
  <si>
    <t>Chick Pea Curry (L-medium)</t>
    <phoneticPr fontId="8" type="noConversion"/>
  </si>
  <si>
    <t>Whole Turkey with Cranberry (D-low)</t>
    <phoneticPr fontId="8" type="noConversion"/>
  </si>
  <si>
    <t>Pasta (L-low)</t>
    <phoneticPr fontId="8" type="noConversion"/>
  </si>
  <si>
    <t>Stir Fry (L-medium)</t>
    <phoneticPr fontId="8" type="noConversion"/>
  </si>
  <si>
    <t>Southwestern Pork Loin (D-low)</t>
    <phoneticPr fontId="8" type="noConversion"/>
  </si>
  <si>
    <t>Chicken Marsala (D-medium)</t>
    <phoneticPr fontId="8" type="noConversion"/>
  </si>
  <si>
    <t>TOTAL WATER USED (L/year):</t>
    <phoneticPr fontId="8" type="noConversion"/>
  </si>
  <si>
    <t>Biological Treatment- Composting</t>
    <phoneticPr fontId="8" type="noConversion"/>
  </si>
  <si>
    <t>MFDS GHG Audit: Carbon Emission Factors List [WASTE]</t>
    <phoneticPr fontId="8" type="noConversion"/>
  </si>
  <si>
    <t>Total GHG Reduction Potential (MT of CO2):</t>
    <phoneticPr fontId="8" type="noConversion"/>
  </si>
  <si>
    <t>Emission Factor</t>
    <phoneticPr fontId="8" type="noConversion"/>
  </si>
  <si>
    <t>Use (kWh/yr)</t>
    <phoneticPr fontId="8" type="noConversion"/>
  </si>
  <si>
    <t>Emission Factor [Supply]</t>
    <phoneticPr fontId="8" type="noConversion"/>
  </si>
  <si>
    <t>MFDS GHG Audit: Carbon Emission Factors List [ENERGY]</t>
    <phoneticPr fontId="8" type="noConversion"/>
  </si>
  <si>
    <t>Dishwasher</t>
  </si>
  <si>
    <t xml:space="preserve">Dishwasher Booster </t>
  </si>
  <si>
    <t xml:space="preserve">Air Circulation </t>
  </si>
  <si>
    <t xml:space="preserve">Big Mixer </t>
  </si>
  <si>
    <t xml:space="preserve">Double Deep Fryer </t>
  </si>
  <si>
    <t>gCO2/kWh</t>
  </si>
  <si>
    <t>gCH4/kWh</t>
  </si>
  <si>
    <t>gN20/kWh</t>
  </si>
  <si>
    <t>All Purpose Cleaner</t>
  </si>
  <si>
    <t>Window Cleaner</t>
  </si>
  <si>
    <t>Surfaces</t>
  </si>
  <si>
    <t>Hose</t>
  </si>
  <si>
    <t>Deep Cleaning</t>
  </si>
  <si>
    <t xml:space="preserve">to </t>
    <phoneticPr fontId="8" type="noConversion"/>
  </si>
  <si>
    <t>Multiply by:</t>
    <phoneticPr fontId="8" type="noConversion"/>
  </si>
  <si>
    <t>T-8</t>
  </si>
  <si>
    <t>Fluorescent: double bar</t>
  </si>
  <si>
    <t>Hanging Lights</t>
  </si>
  <si>
    <t xml:space="preserve">Little Halogen Above Chair </t>
  </si>
  <si>
    <t xml:space="preserve">Decorative Panel with flurescent bar </t>
  </si>
  <si>
    <t xml:space="preserve">Coke Fridge </t>
  </si>
  <si>
    <t>vitamin Water fridge</t>
  </si>
  <si>
    <t>Corrugated Box</t>
    <phoneticPr fontId="8" type="noConversion"/>
  </si>
  <si>
    <t>Sent to Landfill</t>
    <phoneticPr fontId="8" type="noConversion"/>
  </si>
  <si>
    <t>Landfill, Nat'l Average (US)</t>
    <phoneticPr fontId="8" type="noConversion"/>
  </si>
  <si>
    <r>
      <t>gCO</t>
    </r>
    <r>
      <rPr>
        <vertAlign val="subscript"/>
        <sz val="10"/>
        <rFont val="Verdana"/>
        <family val="2"/>
      </rPr>
      <t>2</t>
    </r>
    <r>
      <rPr>
        <sz val="10"/>
        <rFont val="Verdana"/>
      </rPr>
      <t xml:space="preserve"> eq/m3</t>
    </r>
    <phoneticPr fontId="8" type="noConversion"/>
  </si>
  <si>
    <t>Energy Stream</t>
    <phoneticPr fontId="8" type="noConversion"/>
  </si>
  <si>
    <t>Energy Source</t>
    <phoneticPr fontId="8" type="noConversion"/>
  </si>
  <si>
    <t>Total Water Used by Type (L/yr)</t>
    <phoneticPr fontId="8" type="noConversion"/>
  </si>
  <si>
    <r>
      <t>Water Used (m</t>
    </r>
    <r>
      <rPr>
        <b/>
        <vertAlign val="superscript"/>
        <sz val="10"/>
        <rFont val="Times New Roman"/>
      </rPr>
      <t>3</t>
    </r>
    <r>
      <rPr>
        <b/>
        <sz val="10"/>
        <rFont val="Times New Roman"/>
      </rPr>
      <t>)</t>
    </r>
    <phoneticPr fontId="8" type="noConversion"/>
  </si>
  <si>
    <t>(-) Collected in MT x EF Landfill + Collected in MT x EF Recycled</t>
    <phoneticPr fontId="8" type="noConversion"/>
  </si>
  <si>
    <t>Emission Factor [Treatment]</t>
    <phoneticPr fontId="8" type="noConversion"/>
  </si>
  <si>
    <t>Litre</t>
    <phoneticPr fontId="8" type="noConversion"/>
  </si>
  <si>
    <t>WATER AUDIT CS</t>
    <phoneticPr fontId="8" type="noConversion"/>
  </si>
  <si>
    <t>Biological Treatment- Composting</t>
    <phoneticPr fontId="8" type="noConversion"/>
  </si>
  <si>
    <t>Landfill, Nat'l Average (US)</t>
    <phoneticPr fontId="8" type="noConversion"/>
  </si>
  <si>
    <t>Sent to Landfill</t>
    <phoneticPr fontId="8" type="noConversion"/>
  </si>
  <si>
    <t>Landfill, Nat'l Average (US)</t>
    <phoneticPr fontId="8" type="noConversion"/>
  </si>
  <si>
    <t>Mixed Metals</t>
    <phoneticPr fontId="8" type="noConversion"/>
  </si>
  <si>
    <t>Recycled</t>
    <phoneticPr fontId="8" type="noConversion"/>
  </si>
  <si>
    <t>Mixed Metals</t>
    <phoneticPr fontId="8" type="noConversion"/>
  </si>
  <si>
    <t>Sent to Landfill</t>
    <phoneticPr fontId="8" type="noConversion"/>
  </si>
  <si>
    <t>Glass</t>
    <phoneticPr fontId="8" type="noConversion"/>
  </si>
  <si>
    <t>Mixed Plastics</t>
    <phoneticPr fontId="8" type="noConversion"/>
  </si>
  <si>
    <t>Mixed Paper Board</t>
    <phoneticPr fontId="8" type="noConversion"/>
  </si>
  <si>
    <t>Corrugated Box</t>
    <phoneticPr fontId="8" type="noConversion"/>
  </si>
  <si>
    <t>1=</t>
    <phoneticPr fontId="8" type="noConversion"/>
  </si>
  <si>
    <t>One-Day Total</t>
  </si>
  <si>
    <t>--</t>
  </si>
  <si>
    <t>Food Waste Composting Rate</t>
  </si>
  <si>
    <t>ENERGY AUDIT RVC</t>
    <phoneticPr fontId="8" type="noConversion"/>
  </si>
  <si>
    <t>ENERGY AUDIT BMH</t>
    <phoneticPr fontId="8" type="noConversion"/>
  </si>
  <si>
    <t>ENERGY AUDIT NRH</t>
    <phoneticPr fontId="8" type="noConversion"/>
  </si>
  <si>
    <t>GW Potential Factors</t>
    <phoneticPr fontId="8" type="noConversion"/>
  </si>
  <si>
    <t>ENERGY AUDIT CS</t>
    <phoneticPr fontId="8" type="noConversion"/>
  </si>
  <si>
    <r>
      <t>CO</t>
    </r>
    <r>
      <rPr>
        <b/>
        <vertAlign val="subscript"/>
        <sz val="10"/>
        <rFont val="Verdana"/>
        <family val="2"/>
      </rPr>
      <t xml:space="preserve">2 </t>
    </r>
    <r>
      <rPr>
        <b/>
        <sz val="10"/>
        <rFont val="Verdana"/>
      </rPr>
      <t>(MT) to 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 xml:space="preserve"> (lbs)</t>
    </r>
    <phoneticPr fontId="8" type="noConversion"/>
  </si>
  <si>
    <t>Net Emissions</t>
    <phoneticPr fontId="8" type="noConversion"/>
  </si>
  <si>
    <t>NE units</t>
    <phoneticPr fontId="8" type="noConversion"/>
  </si>
  <si>
    <t xml:space="preserve">Hanging Halogen </t>
  </si>
  <si>
    <t xml:space="preserve">U bar flourescent </t>
  </si>
  <si>
    <t>Natural gas emission factor</t>
    <phoneticPr fontId="8" type="noConversion"/>
  </si>
  <si>
    <t>Hard Water Pipe Cleaner</t>
  </si>
  <si>
    <t>Corrugated Box Recycling Rate</t>
  </si>
  <si>
    <t>Mixed Garbage Diversion Rate</t>
  </si>
  <si>
    <t>Recycling Rates</t>
  </si>
  <si>
    <t>Steam</t>
    <phoneticPr fontId="8" type="noConversion"/>
  </si>
  <si>
    <r>
      <t>Total CO</t>
    </r>
    <r>
      <rPr>
        <b/>
        <vertAlign val="subscript"/>
        <sz val="10"/>
        <rFont val="Verdana"/>
        <family val="2"/>
      </rPr>
      <t xml:space="preserve">2 eq </t>
    </r>
    <r>
      <rPr>
        <b/>
        <sz val="10"/>
        <rFont val="Verdana"/>
      </rPr>
      <t>(gCO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 xml:space="preserve"> eq/m3)</t>
    </r>
    <phoneticPr fontId="8" type="noConversion"/>
  </si>
  <si>
    <t xml:space="preserve">Four Fluorescent Bars </t>
  </si>
  <si>
    <t>Servery Appliances</t>
  </si>
  <si>
    <t>Stand-up Freezer</t>
  </si>
  <si>
    <t>Fridge (Dairy)</t>
  </si>
  <si>
    <r>
      <t>Total Current GHG (t CO</t>
    </r>
    <r>
      <rPr>
        <b/>
        <vertAlign val="subscript"/>
        <sz val="11"/>
        <color indexed="17"/>
        <rFont val="Times New Roman"/>
      </rPr>
      <t>2</t>
    </r>
    <r>
      <rPr>
        <b/>
        <sz val="11"/>
        <color indexed="17"/>
        <rFont val="Times New Roman"/>
      </rPr>
      <t>-eq) PER SCHOOL YEAR (8 months-242 days):</t>
    </r>
    <phoneticPr fontId="8" type="noConversion"/>
  </si>
  <si>
    <t>Griddle</t>
  </si>
  <si>
    <t>Oven (under griddle)</t>
  </si>
  <si>
    <t>Deep fryer #1</t>
  </si>
  <si>
    <t>Deep fryer #2</t>
  </si>
  <si>
    <t>Deep fryer #3</t>
  </si>
  <si>
    <t>Tilt Fryer</t>
  </si>
  <si>
    <t>Salamander</t>
  </si>
  <si>
    <t>HVAC (Heating)</t>
    <phoneticPr fontId="8" type="noConversion"/>
  </si>
  <si>
    <t>Notes:</t>
    <phoneticPr fontId="8" type="noConversion"/>
  </si>
  <si>
    <t>Mixed Paper Board</t>
    <phoneticPr fontId="8" type="noConversion"/>
  </si>
  <si>
    <t>Soup (L-high)</t>
    <phoneticPr fontId="8" type="noConversion"/>
  </si>
  <si>
    <t>General Hot Dinner Meal (D-low)</t>
    <phoneticPr fontId="8" type="noConversion"/>
  </si>
  <si>
    <t>Veggies (D-high)</t>
    <phoneticPr fontId="8" type="noConversion"/>
  </si>
  <si>
    <t>Leaks (5% more)</t>
    <phoneticPr fontId="8" type="noConversion"/>
  </si>
  <si>
    <t>TOTAL WATER USED (L/year):</t>
    <phoneticPr fontId="8" type="noConversion"/>
  </si>
  <si>
    <t>TOTAL NET EMISSIONS (kg CO2e):</t>
    <phoneticPr fontId="8" type="noConversion"/>
  </si>
  <si>
    <t>TOTAL NET EMISSIONS (kg CO2e):</t>
    <phoneticPr fontId="8" type="noConversion"/>
  </si>
  <si>
    <t>TOTAL NET EMISSIONS (tCO2e):</t>
    <phoneticPr fontId="8" type="noConversion"/>
  </si>
  <si>
    <t>WATER AUDIT RVC</t>
    <phoneticPr fontId="8" type="noConversion"/>
  </si>
  <si>
    <t>Compressors (basement)</t>
    <phoneticPr fontId="8" type="noConversion"/>
  </si>
  <si>
    <t>MFDS GHG Audit: Carbon Emission Factors List [WATER]</t>
    <phoneticPr fontId="8" type="noConversion"/>
  </si>
  <si>
    <t>Pasta (D-high)</t>
    <phoneticPr fontId="8" type="noConversion"/>
  </si>
  <si>
    <t>Veggies D-high)</t>
    <phoneticPr fontId="8" type="noConversion"/>
  </si>
  <si>
    <t>Leaks (5% more)</t>
    <phoneticPr fontId="8" type="noConversion"/>
  </si>
  <si>
    <t>TOTAL WATER USED (L/year):</t>
    <phoneticPr fontId="8" type="noConversion"/>
  </si>
  <si>
    <t>TOTAL NET EMISSIONS (kg CO2e):</t>
    <phoneticPr fontId="8" type="noConversion"/>
  </si>
  <si>
    <t>TOTAL NET EMISSIONS (tCO2e):</t>
    <phoneticPr fontId="8" type="noConversion"/>
  </si>
  <si>
    <t>WATER AUDIT NRH</t>
    <phoneticPr fontId="8" type="noConversion"/>
  </si>
  <si>
    <t>HVAC (Air Conditioning)</t>
    <phoneticPr fontId="8" type="noConversion"/>
  </si>
  <si>
    <t>HVAC (Ventilation)</t>
    <phoneticPr fontId="8" type="noConversion"/>
  </si>
  <si>
    <t>Multiply by</t>
    <phoneticPr fontId="8" type="noConversion"/>
  </si>
  <si>
    <t>cu.m. nat gas</t>
    <phoneticPr fontId="8" type="noConversion"/>
  </si>
  <si>
    <t>environment ca</t>
    <phoneticPr fontId="8" type="noConversion"/>
  </si>
  <si>
    <t>Emission Factor [Treatment]</t>
    <phoneticPr fontId="8" type="noConversion"/>
  </si>
  <si>
    <r>
      <t>Net Emissions (kg CO</t>
    </r>
    <r>
      <rPr>
        <b/>
        <vertAlign val="subscript"/>
        <sz val="10"/>
        <rFont val="Times New Roman"/>
      </rPr>
      <t>2</t>
    </r>
    <r>
      <rPr>
        <b/>
        <sz val="10"/>
        <rFont val="Times New Roman"/>
      </rPr>
      <t>e)</t>
    </r>
    <phoneticPr fontId="8" type="noConversion"/>
  </si>
  <si>
    <t>Totals (kgCO2e)</t>
    <phoneticPr fontId="8" type="noConversion"/>
  </si>
  <si>
    <t>Oatmeal (B-medium)</t>
    <phoneticPr fontId="8" type="noConversion"/>
  </si>
  <si>
    <t>Waste Collected x EF, Diverted</t>
  </si>
  <si>
    <t>Sent to Landfill</t>
  </si>
  <si>
    <t>Recycled</t>
  </si>
  <si>
    <t>Waste Audit - All Cafeterias</t>
  </si>
  <si>
    <t>Biological Treatment- Composting</t>
    <phoneticPr fontId="8" type="noConversion"/>
  </si>
  <si>
    <t>Recycling</t>
    <phoneticPr fontId="8" type="noConversion"/>
  </si>
  <si>
    <t>Total Current GHG (t CO2-e)</t>
    <phoneticPr fontId="8" type="noConversion"/>
  </si>
  <si>
    <r>
      <t>gCH</t>
    </r>
    <r>
      <rPr>
        <b/>
        <vertAlign val="subscript"/>
        <sz val="10"/>
        <rFont val="Verdana"/>
        <family val="2"/>
      </rPr>
      <t>4</t>
    </r>
    <r>
      <rPr>
        <b/>
        <sz val="10"/>
        <rFont val="Verdana"/>
      </rPr>
      <t>/kWh</t>
    </r>
    <phoneticPr fontId="8" type="noConversion"/>
  </si>
  <si>
    <r>
      <t>gN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>0/kWh</t>
    </r>
    <phoneticPr fontId="8" type="noConversion"/>
  </si>
  <si>
    <t>kWh to Btu (primary)</t>
    <phoneticPr fontId="8" type="noConversion"/>
  </si>
  <si>
    <t>Net GHG Emissions:</t>
  </si>
  <si>
    <t>Waste Collected x (EF, Landfill + EF, Diverted -- if any)</t>
  </si>
  <si>
    <t>Dishwasher (rating when separated electrical connections are utlized)</t>
  </si>
  <si>
    <t>Walk-in fridge #1 (2-fan)</t>
  </si>
  <si>
    <t>Walk-in fridge #2 (2-fan)</t>
  </si>
  <si>
    <t>Walk-in fridge #3 (1-fan)</t>
  </si>
  <si>
    <t>Fume Hoods</t>
  </si>
  <si>
    <t xml:space="preserve">Big Potted </t>
  </si>
  <si>
    <t>Hanging</t>
  </si>
  <si>
    <t xml:space="preserve">Service Station </t>
  </si>
  <si>
    <t xml:space="preserve">Big Orb </t>
  </si>
  <si>
    <t xml:space="preserve">Small Potted </t>
  </si>
  <si>
    <t xml:space="preserve">single bulb </t>
  </si>
  <si>
    <t xml:space="preserve">Bar lights </t>
  </si>
  <si>
    <t xml:space="preserve">Heat Lamp </t>
  </si>
  <si>
    <t>Total Waste Collected (kg):</t>
    <phoneticPr fontId="8" type="noConversion"/>
  </si>
  <si>
    <t>Total Current GHG (t CO2-e)</t>
    <phoneticPr fontId="8" type="noConversion"/>
  </si>
  <si>
    <t>Total GHG Reduction Potential (t of CO2):</t>
    <phoneticPr fontId="8" type="noConversion"/>
  </si>
  <si>
    <t>Total Current GHG (t CO2-e) PER SCHOOL YEAR (8 months-242 days):</t>
    <phoneticPr fontId="8" type="noConversion"/>
  </si>
  <si>
    <t>milk fridge</t>
  </si>
  <si>
    <t>coke dispenser</t>
  </si>
  <si>
    <t xml:space="preserve">juice dispenser </t>
  </si>
  <si>
    <t>hot water dispenser</t>
  </si>
  <si>
    <t xml:space="preserve">fridge </t>
  </si>
  <si>
    <t>coffee maker</t>
  </si>
  <si>
    <t xml:space="preserve">heat lamp </t>
  </si>
  <si>
    <t xml:space="preserve">deep fryer </t>
  </si>
  <si>
    <t xml:space="preserve">Grill </t>
  </si>
  <si>
    <t>soup Warmer</t>
  </si>
  <si>
    <t xml:space="preserve">Panini Maker </t>
  </si>
  <si>
    <t>Panini Press</t>
  </si>
  <si>
    <t xml:space="preserve">Breakfast Grill </t>
  </si>
  <si>
    <t>Mixed Garbage (non-recylables)</t>
    <phoneticPr fontId="8" type="noConversion"/>
  </si>
  <si>
    <r>
      <t>Total Current GHG (t CO</t>
    </r>
    <r>
      <rPr>
        <b/>
        <vertAlign val="subscript"/>
        <sz val="10"/>
        <rFont val="Times New Roman"/>
      </rPr>
      <t>2</t>
    </r>
    <r>
      <rPr>
        <b/>
        <sz val="10"/>
        <rFont val="Times New Roman"/>
      </rPr>
      <t>-eq)</t>
    </r>
    <phoneticPr fontId="8" type="noConversion"/>
  </si>
  <si>
    <t>Total GHG Reduction Potential (t of CO2):</t>
    <phoneticPr fontId="8" type="noConversion"/>
  </si>
  <si>
    <t>WASTE AUDIT RVC</t>
    <phoneticPr fontId="8" type="noConversion"/>
  </si>
  <si>
    <t>Recycled</t>
    <phoneticPr fontId="8" type="noConversion"/>
  </si>
  <si>
    <t>Recycling</t>
    <phoneticPr fontId="8" type="noConversion"/>
  </si>
  <si>
    <t>Waste Stream</t>
    <phoneticPr fontId="8" type="noConversion"/>
  </si>
  <si>
    <t>Current Status</t>
    <phoneticPr fontId="8" type="noConversion"/>
  </si>
  <si>
    <t>Disposal Method</t>
    <phoneticPr fontId="8" type="noConversion"/>
  </si>
  <si>
    <r>
      <t>Emission Factor (MT 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>-e)</t>
    </r>
    <phoneticPr fontId="8" type="noConversion"/>
  </si>
  <si>
    <t>Beef Stew (D-high)</t>
    <phoneticPr fontId="8" type="noConversion"/>
  </si>
  <si>
    <t>Cubic Meter</t>
    <phoneticPr fontId="8" type="noConversion"/>
  </si>
  <si>
    <t>Total kWh/Yr</t>
    <phoneticPr fontId="8" type="noConversion"/>
  </si>
  <si>
    <r>
      <t>Total CO</t>
    </r>
    <r>
      <rPr>
        <b/>
        <vertAlign val="subscript"/>
        <sz val="10"/>
        <rFont val="Verdana"/>
        <family val="2"/>
      </rPr>
      <t>2 eq</t>
    </r>
    <r>
      <rPr>
        <b/>
        <sz val="10"/>
        <rFont val="Verdana"/>
      </rPr>
      <t xml:space="preserve"> (gCO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>/kWh)</t>
    </r>
    <phoneticPr fontId="8" type="noConversion"/>
  </si>
  <si>
    <t>Total GHG Reduction Potential (t of CO2) PER SCHOOL YEAR (8 months-242 days):</t>
    <phoneticPr fontId="8" type="noConversion"/>
  </si>
  <si>
    <t>Recycling</t>
    <phoneticPr fontId="8" type="noConversion"/>
  </si>
  <si>
    <t>Mixed Metals</t>
    <phoneticPr fontId="8" type="noConversion"/>
  </si>
  <si>
    <t>Sent to Landfill</t>
    <phoneticPr fontId="8" type="noConversion"/>
  </si>
  <si>
    <t>Landfill, Nat'l Average (US)</t>
    <phoneticPr fontId="8" type="noConversion"/>
  </si>
  <si>
    <t>Glass</t>
    <phoneticPr fontId="8" type="noConversion"/>
  </si>
  <si>
    <t>Mixed Plastics</t>
    <phoneticPr fontId="8" type="noConversion"/>
  </si>
  <si>
    <t>Mixed Paper Board</t>
    <phoneticPr fontId="8" type="noConversion"/>
  </si>
  <si>
    <t>Total GHG Reduction Potential (t CO2-eq) PER SCHOOL YEAR (8 months-242 days):</t>
  </si>
  <si>
    <t>1=</t>
    <phoneticPr fontId="8" type="noConversion"/>
  </si>
  <si>
    <t>Cleaning</t>
  </si>
  <si>
    <t>Machines</t>
  </si>
  <si>
    <t>Breakdown of Type</t>
  </si>
  <si>
    <t xml:space="preserve">Big Pot Lights </t>
  </si>
  <si>
    <t xml:space="preserve">Wall Lights </t>
  </si>
  <si>
    <t xml:space="preserve">Hanging Circle </t>
  </si>
  <si>
    <t xml:space="preserve">Hanging Silver </t>
  </si>
  <si>
    <t>Swirly</t>
  </si>
  <si>
    <t xml:space="preserve">Track </t>
  </si>
  <si>
    <t xml:space="preserve">Fluorescent </t>
  </si>
  <si>
    <t xml:space="preserve">Double Fluorescent Bars </t>
  </si>
  <si>
    <t xml:space="preserve">Single flurescent Bars </t>
  </si>
  <si>
    <t>Track Lights</t>
  </si>
  <si>
    <t>Fluorescant: 2-Bar</t>
  </si>
  <si>
    <t>Small Potted</t>
  </si>
  <si>
    <t>Fluorescant: 4-Bar</t>
  </si>
  <si>
    <t>Fluorescant: 1-Bar</t>
  </si>
  <si>
    <t>Hanging Potted</t>
  </si>
  <si>
    <r>
      <t>gCO</t>
    </r>
    <r>
      <rPr>
        <vertAlign val="subscript"/>
        <sz val="10"/>
        <rFont val="Times New Roman"/>
      </rPr>
      <t>2</t>
    </r>
    <r>
      <rPr>
        <sz val="10"/>
        <rFont val="Times New Roman"/>
      </rPr>
      <t>-eq/kWh</t>
    </r>
    <phoneticPr fontId="8" type="noConversion"/>
  </si>
  <si>
    <t>Total Current GHG Reduction (MT of CO2) PER SCHOOL YEAR (8 months-242 days):</t>
    <phoneticPr fontId="8" type="noConversion"/>
  </si>
  <si>
    <t>WASTE AUDIT RVC</t>
    <phoneticPr fontId="8" type="noConversion"/>
  </si>
  <si>
    <t>Waste Audit BMH</t>
    <phoneticPr fontId="8" type="noConversion"/>
  </si>
  <si>
    <r>
      <t>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 xml:space="preserve"> (lbs) to 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 xml:space="preserve"> (kg)</t>
    </r>
    <phoneticPr fontId="8" type="noConversion"/>
  </si>
  <si>
    <t>Total Waste Collected (kg):</t>
    <phoneticPr fontId="8" type="noConversion"/>
  </si>
  <si>
    <t>Need help with Steam conversion</t>
    <phoneticPr fontId="8" type="noConversion"/>
  </si>
  <si>
    <t>Sanitizing</t>
  </si>
  <si>
    <t xml:space="preserve">Unit </t>
    <phoneticPr fontId="8" type="noConversion"/>
  </si>
  <si>
    <t>Oven #1 (below griddle)</t>
  </si>
  <si>
    <t>Oven #2 (below griddle)</t>
  </si>
  <si>
    <t>3 drawer Steamers</t>
  </si>
  <si>
    <t>2 drawer Steamers</t>
  </si>
  <si>
    <t>WATER AUDIT BMH</t>
    <phoneticPr fontId="8" type="noConversion"/>
  </si>
  <si>
    <t>Total for Stream</t>
    <phoneticPr fontId="8" type="noConversion"/>
  </si>
  <si>
    <t>Walk-in Freezer (new)</t>
  </si>
  <si>
    <t>Walk-in Fridge (new)</t>
  </si>
  <si>
    <t>Walk-in fridge (vegtables)</t>
  </si>
  <si>
    <t>Walk-in Fridge + Freezer (meat)</t>
  </si>
  <si>
    <t>Walk-in Fridge (dairy)</t>
  </si>
  <si>
    <t>TOTAL NET EMISSIONS (tCO2e):</t>
    <phoneticPr fontId="8" type="noConversion"/>
  </si>
  <si>
    <t>Total Water Used by Type (L/year)</t>
    <phoneticPr fontId="8" type="noConversion"/>
  </si>
  <si>
    <r>
      <t>Water Used (m</t>
    </r>
    <r>
      <rPr>
        <b/>
        <vertAlign val="superscript"/>
        <sz val="10"/>
        <rFont val="Times New Roman"/>
      </rPr>
      <t>3</t>
    </r>
    <r>
      <rPr>
        <b/>
        <sz val="10"/>
        <rFont val="Times New Roman"/>
      </rPr>
      <t>)</t>
    </r>
    <phoneticPr fontId="8" type="noConversion"/>
  </si>
  <si>
    <t>Emission Factor [Supply]</t>
    <phoneticPr fontId="8" type="noConversion"/>
  </si>
  <si>
    <t>One-Year Extrapolated Total (8 months, i.e. 242 days)</t>
  </si>
  <si>
    <t>Where GHG Reductions Would Come From</t>
    <phoneticPr fontId="8" type="noConversion"/>
  </si>
  <si>
    <t>Total Waste Collected (t) PER SCHOOL YEAR (8 months-242 days):</t>
    <phoneticPr fontId="8" type="noConversion"/>
  </si>
  <si>
    <t>Total Waste Collected (kg):</t>
    <phoneticPr fontId="8" type="noConversion"/>
  </si>
  <si>
    <t>EF</t>
    <phoneticPr fontId="8" type="noConversion"/>
  </si>
  <si>
    <t>EF unit</t>
    <phoneticPr fontId="8" type="noConversion"/>
  </si>
  <si>
    <t>Energy use in GJ</t>
    <phoneticPr fontId="8" type="noConversion"/>
  </si>
  <si>
    <t>HVAC (Cooling)</t>
    <phoneticPr fontId="8" type="noConversion"/>
  </si>
  <si>
    <t>Steam</t>
    <phoneticPr fontId="8" type="noConversion"/>
  </si>
  <si>
    <t>N/A</t>
    <phoneticPr fontId="8" type="noConversion"/>
  </si>
  <si>
    <t>Steam</t>
    <phoneticPr fontId="8" type="noConversion"/>
  </si>
  <si>
    <t>Grid</t>
    <phoneticPr fontId="8" type="noConversion"/>
  </si>
  <si>
    <t>HVAC (Ventiliation)</t>
    <phoneticPr fontId="8" type="noConversion"/>
  </si>
  <si>
    <t>Food Waste</t>
    <phoneticPr fontId="8" type="noConversion"/>
  </si>
  <si>
    <t>Composted</t>
    <phoneticPr fontId="8" type="noConversion"/>
  </si>
  <si>
    <t xml:space="preserve">Big Soup Steamer </t>
  </si>
  <si>
    <t xml:space="preserve">Wrapping Equipment </t>
  </si>
  <si>
    <t xml:space="preserve">Mixer </t>
  </si>
  <si>
    <t xml:space="preserve">Dishwasher </t>
  </si>
  <si>
    <t xml:space="preserve">Dishwasher Heater </t>
  </si>
  <si>
    <t>Mixed Metals Recycling Rate</t>
  </si>
  <si>
    <t>Glass Recycling Rate</t>
  </si>
  <si>
    <t>HVAC (Heating)</t>
    <phoneticPr fontId="8" type="noConversion"/>
  </si>
  <si>
    <t xml:space="preserve">Coffee Machine </t>
  </si>
  <si>
    <t>Juice Dispenser</t>
  </si>
  <si>
    <t>Freezer</t>
  </si>
  <si>
    <t>Milk Dispenser</t>
  </si>
  <si>
    <t xml:space="preserve">Display Fridge </t>
  </si>
  <si>
    <t xml:space="preserve">Mini Oven </t>
  </si>
  <si>
    <t xml:space="preserve">Double Sandwich Press </t>
  </si>
  <si>
    <t>Mini Cooker</t>
  </si>
  <si>
    <t xml:space="preserve">Fume Hood with Light </t>
  </si>
  <si>
    <t xml:space="preserve">Slicer </t>
  </si>
  <si>
    <t xml:space="preserve">Fridge </t>
  </si>
  <si>
    <t xml:space="preserve">Toaster </t>
  </si>
  <si>
    <t>Soup warmer</t>
  </si>
  <si>
    <t>Soup (D-high)</t>
    <phoneticPr fontId="8" type="noConversion"/>
  </si>
  <si>
    <t>Ecolab ®</t>
    <phoneticPr fontId="8" type="noConversion"/>
  </si>
  <si>
    <t>Hobart ©</t>
    <phoneticPr fontId="8" type="noConversion"/>
  </si>
  <si>
    <t>Water Used (L/year)</t>
    <phoneticPr fontId="8" type="noConversion"/>
  </si>
  <si>
    <t>Unit</t>
    <phoneticPr fontId="8" type="noConversion"/>
  </si>
  <si>
    <t>Mixed Plastics Recycling Rate</t>
  </si>
  <si>
    <t>Mixed Paper Board Recycling Rate</t>
  </si>
  <si>
    <t>Steamer</t>
  </si>
  <si>
    <t>Mopping</t>
  </si>
  <si>
    <t>Dripping</t>
  </si>
  <si>
    <t>Defrosting</t>
  </si>
  <si>
    <t>2 Steamers</t>
  </si>
  <si>
    <t>Steamer Basin</t>
  </si>
  <si>
    <t>Steam Pot</t>
  </si>
  <si>
    <t>Garbage room</t>
  </si>
  <si>
    <t>Hoses</t>
  </si>
  <si>
    <t>Dish Rinsing</t>
  </si>
  <si>
    <t>Clean Steamer</t>
  </si>
  <si>
    <t>GHG Intensities</t>
  </si>
  <si>
    <t>Conversions</t>
    <phoneticPr fontId="8" type="noConversion"/>
  </si>
  <si>
    <t>From</t>
    <phoneticPr fontId="8" type="noConversion"/>
  </si>
  <si>
    <t>Waste Audit NRH</t>
    <phoneticPr fontId="8" type="noConversion"/>
  </si>
  <si>
    <t>Waste Stream</t>
    <phoneticPr fontId="8" type="noConversion"/>
  </si>
  <si>
    <t>Current Status</t>
    <phoneticPr fontId="8" type="noConversion"/>
  </si>
  <si>
    <t>Disposal Method</t>
    <phoneticPr fontId="8" type="noConversion"/>
  </si>
  <si>
    <t xml:space="preserve">Wood Fire </t>
  </si>
  <si>
    <t>TV</t>
  </si>
  <si>
    <t xml:space="preserve">Oven </t>
  </si>
  <si>
    <t>Corrugated Box</t>
    <phoneticPr fontId="8" type="noConversion"/>
  </si>
  <si>
    <t>Mixed Garbage (non-recylables)</t>
    <phoneticPr fontId="8" type="noConversion"/>
  </si>
  <si>
    <t>Dishwasher (electrical booster)</t>
  </si>
  <si>
    <t>Soda</t>
  </si>
  <si>
    <t>Ice</t>
  </si>
  <si>
    <t>Ecolab ®</t>
  </si>
  <si>
    <t>GW Potential Factors</t>
  </si>
  <si>
    <t>Defrosting Sink</t>
  </si>
  <si>
    <t>Juice</t>
  </si>
  <si>
    <t>Total GHG Reduction Potential (MT of CO2) PER SCHOOL YEAR (8 months-242 days):</t>
  </si>
  <si>
    <t>Meals</t>
  </si>
  <si>
    <t xml:space="preserve">Dough Mixer </t>
  </si>
  <si>
    <t>Total Current GHG (t CO2-e) PER SCHOOL YEAR (8 months-242 days):</t>
    <phoneticPr fontId="8" type="noConversion"/>
  </si>
  <si>
    <t>Waste Audit BMH</t>
    <phoneticPr fontId="8" type="noConversion"/>
  </si>
  <si>
    <t>Glass</t>
    <phoneticPr fontId="8" type="noConversion"/>
  </si>
  <si>
    <t>Mixed Plastics</t>
    <phoneticPr fontId="8" type="noConversion"/>
  </si>
  <si>
    <t>Mixed Paper Board</t>
    <phoneticPr fontId="8" type="noConversion"/>
  </si>
  <si>
    <r>
      <t>gCO</t>
    </r>
    <r>
      <rPr>
        <vertAlign val="subscript"/>
        <sz val="10"/>
        <rFont val="Verdana"/>
        <family val="2"/>
      </rPr>
      <t>2</t>
    </r>
    <r>
      <rPr>
        <sz val="10"/>
        <rFont val="Verdana"/>
      </rPr>
      <t xml:space="preserve"> eq/m3</t>
    </r>
    <phoneticPr fontId="8" type="noConversion"/>
  </si>
  <si>
    <t>gCO2 eq/m3</t>
  </si>
  <si>
    <t xml:space="preserve">Silver hanging </t>
  </si>
  <si>
    <t>4 burner stove</t>
  </si>
  <si>
    <r>
      <t>Total 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 xml:space="preserve"> Equivalent</t>
    </r>
    <phoneticPr fontId="8" type="noConversion"/>
  </si>
  <si>
    <t>EF Units</t>
    <phoneticPr fontId="8" type="noConversion"/>
  </si>
  <si>
    <t>N/A</t>
    <phoneticPr fontId="8" type="noConversion"/>
  </si>
  <si>
    <t>Don't understand HVAC caluclations</t>
    <phoneticPr fontId="8" type="noConversion"/>
  </si>
  <si>
    <t>How to get m3 to kWh?</t>
    <phoneticPr fontId="8" type="noConversion"/>
  </si>
  <si>
    <t>Appliances</t>
    <phoneticPr fontId="8" type="noConversion"/>
  </si>
  <si>
    <t>Collected
(kg)</t>
  </si>
  <si>
    <t>Collected
(t)</t>
  </si>
  <si>
    <t>Total Current GHG (t CO2-eq) PER SCHOOL YEAR (8 months-242 days):</t>
  </si>
  <si>
    <t>Source: EPA 2004 Conversion Report</t>
    <phoneticPr fontId="8" type="noConversion"/>
  </si>
  <si>
    <t>MFDS GHG Audit: Carbon Emission Factors List [ENERGY]</t>
    <phoneticPr fontId="8" type="noConversion"/>
  </si>
  <si>
    <r>
      <t>Emission Factor [Grid] gCO</t>
    </r>
    <r>
      <rPr>
        <b/>
        <vertAlign val="subscript"/>
        <sz val="10"/>
        <rFont val="Verdana"/>
        <family val="2"/>
      </rPr>
      <t xml:space="preserve">2 </t>
    </r>
    <r>
      <rPr>
        <b/>
        <sz val="10"/>
        <rFont val="Verdana"/>
      </rPr>
      <t>eq/kWh</t>
    </r>
    <phoneticPr fontId="8" type="noConversion"/>
  </si>
  <si>
    <t>gCO2 eq/m3</t>
    <phoneticPr fontId="8" type="noConversion"/>
  </si>
  <si>
    <t>Emission Factor [ Natural Gas] gCO2 eq/m3</t>
    <phoneticPr fontId="8" type="noConversion"/>
  </si>
  <si>
    <t>Recycled</t>
    <phoneticPr fontId="8" type="noConversion"/>
  </si>
  <si>
    <t>Composted</t>
    <phoneticPr fontId="8" type="noConversion"/>
  </si>
  <si>
    <r>
      <t>kWh to M</t>
    </r>
    <r>
      <rPr>
        <b/>
        <vertAlign val="superscript"/>
        <sz val="10"/>
        <rFont val="Verdana"/>
        <family val="2"/>
      </rPr>
      <t>3</t>
    </r>
    <r>
      <rPr>
        <b/>
        <sz val="10"/>
        <rFont val="Verdana"/>
      </rPr>
      <t>(Steam)</t>
    </r>
    <phoneticPr fontId="8" type="noConversion"/>
  </si>
  <si>
    <r>
      <t>M</t>
    </r>
    <r>
      <rPr>
        <b/>
        <vertAlign val="superscript"/>
        <sz val="10"/>
        <rFont val="Verdana"/>
        <family val="2"/>
      </rPr>
      <t xml:space="preserve">3 </t>
    </r>
    <r>
      <rPr>
        <b/>
        <sz val="10"/>
        <rFont val="Verdana"/>
      </rPr>
      <t>to</t>
    </r>
    <r>
      <rPr>
        <b/>
        <vertAlign val="superscript"/>
        <sz val="10"/>
        <rFont val="Verdana"/>
        <family val="2"/>
      </rPr>
      <t xml:space="preserve"> </t>
    </r>
    <r>
      <rPr>
        <b/>
        <sz val="10"/>
        <rFont val="Verdana"/>
      </rPr>
      <t>kWh (Steam)</t>
    </r>
    <phoneticPr fontId="8" type="noConversion"/>
  </si>
  <si>
    <t>GHG Intensities</t>
    <phoneticPr fontId="8" type="noConversion"/>
  </si>
  <si>
    <t>Sent to Landfill</t>
    <phoneticPr fontId="8" type="noConversion"/>
  </si>
  <si>
    <t>kg CO2e</t>
    <phoneticPr fontId="8" type="noConversion"/>
  </si>
  <si>
    <t xml:space="preserve">Notes: </t>
    <phoneticPr fontId="8" type="noConversion"/>
  </si>
  <si>
    <t>Usage Type</t>
  </si>
  <si>
    <t>Emission Factor</t>
    <phoneticPr fontId="8" type="noConversion"/>
  </si>
  <si>
    <t>Energy User</t>
    <phoneticPr fontId="8" type="noConversion"/>
  </si>
  <si>
    <t>Use (GJ/yr)</t>
    <phoneticPr fontId="8" type="noConversion"/>
  </si>
  <si>
    <t>MT to lbs conversion is for later… if we want the results converted</t>
    <phoneticPr fontId="8" type="noConversion"/>
  </si>
  <si>
    <t>PGSS: US Environmental Protection Agency</t>
  </si>
  <si>
    <t>GHG Reduction:</t>
    <phoneticPr fontId="8" type="noConversion"/>
  </si>
  <si>
    <t>Total (EF in MT)</t>
    <phoneticPr fontId="8" type="noConversion"/>
  </si>
  <si>
    <t>TOTAL NET EMISSIONS (kg CO2e):</t>
    <phoneticPr fontId="8" type="noConversion"/>
  </si>
  <si>
    <t>Veggies (D-high)</t>
    <phoneticPr fontId="8" type="noConversion"/>
  </si>
  <si>
    <r>
      <t>Total 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 xml:space="preserve"> Equivalent</t>
    </r>
    <phoneticPr fontId="8" type="noConversion"/>
  </si>
  <si>
    <t>N/A</t>
    <phoneticPr fontId="8" type="noConversion"/>
  </si>
  <si>
    <r>
      <t>Total 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 xml:space="preserve"> Equivalent</t>
    </r>
    <phoneticPr fontId="8" type="noConversion"/>
  </si>
  <si>
    <t>Appliances</t>
    <phoneticPr fontId="8" type="noConversion"/>
  </si>
  <si>
    <t>Fridge (2 doors, dairy products)</t>
  </si>
  <si>
    <t>Long buffet salad holder (X2)</t>
  </si>
  <si>
    <t>Temperature holding cabinet</t>
  </si>
  <si>
    <t>Flat griddle</t>
  </si>
  <si>
    <t>Oven (conveyer)</t>
  </si>
  <si>
    <t>Waste Stream</t>
    <phoneticPr fontId="8" type="noConversion"/>
  </si>
  <si>
    <t>Current Status</t>
    <phoneticPr fontId="8" type="noConversion"/>
  </si>
  <si>
    <t>Disposal Method</t>
    <phoneticPr fontId="8" type="noConversion"/>
  </si>
  <si>
    <r>
      <t>Emission Factor
(t CO</t>
    </r>
    <r>
      <rPr>
        <b/>
        <vertAlign val="subscript"/>
        <sz val="10"/>
        <rFont val="Times New Roman"/>
      </rPr>
      <t>2</t>
    </r>
    <r>
      <rPr>
        <b/>
        <sz val="10"/>
        <rFont val="Times New Roman"/>
      </rPr>
      <t>-eq/t)</t>
    </r>
  </si>
  <si>
    <r>
      <t>Net Emissions
(t CO</t>
    </r>
    <r>
      <rPr>
        <b/>
        <vertAlign val="subscript"/>
        <sz val="10"/>
        <rFont val="Times New Roman"/>
      </rPr>
      <t>2</t>
    </r>
    <r>
      <rPr>
        <b/>
        <sz val="10"/>
        <rFont val="Times New Roman"/>
      </rPr>
      <t>eq)</t>
    </r>
  </si>
  <si>
    <t>Salad bar</t>
  </si>
  <si>
    <t>Walk-in Freezer (5-fan)</t>
  </si>
  <si>
    <t>Fridge (1 solid door)</t>
    <phoneticPr fontId="8" type="noConversion"/>
  </si>
  <si>
    <t>Fridge (solid door)</t>
    <phoneticPr fontId="8" type="noConversion"/>
  </si>
  <si>
    <t>Corrugated Box</t>
    <phoneticPr fontId="8" type="noConversion"/>
  </si>
  <si>
    <t>Total Current GHG Reduction (MT of CO2) PER SCHOOL YEAR (8 months-242 days):</t>
  </si>
  <si>
    <t>Total GHG Reduction Potential (MT of CO2) PER SCHOOL YEAR (8 months-242 days):</t>
    <phoneticPr fontId="8" type="noConversion"/>
  </si>
  <si>
    <t>Source</t>
    <phoneticPr fontId="8" type="noConversion"/>
  </si>
  <si>
    <t>Total GHG Reduction Potential (t of CO2):</t>
    <phoneticPr fontId="8" type="noConversion"/>
  </si>
  <si>
    <r>
      <t>Potential GHG Reduction
(t CO</t>
    </r>
    <r>
      <rPr>
        <b/>
        <vertAlign val="subscript"/>
        <sz val="10"/>
        <rFont val="Times New Roman"/>
      </rPr>
      <t>2</t>
    </r>
    <r>
      <rPr>
        <b/>
        <sz val="10"/>
        <rFont val="Times New Roman"/>
      </rPr>
      <t>eq)</t>
    </r>
  </si>
  <si>
    <t>Assume none of it can be diverted because it is very unlikely you'll reach 100% diversion.  This represents 13% of your total waste (weight) at the moment.</t>
  </si>
  <si>
    <t>Mixed Garbage (non-recylables)</t>
    <phoneticPr fontId="8" type="noConversion"/>
  </si>
  <si>
    <t>Totals (kgCO2e)</t>
    <phoneticPr fontId="8" type="noConversion"/>
  </si>
  <si>
    <t>WASTE AUDIT CS</t>
    <phoneticPr fontId="8" type="noConversion"/>
  </si>
  <si>
    <t>Energy use</t>
    <phoneticPr fontId="8" type="noConversion"/>
  </si>
  <si>
    <t>"natural units"</t>
    <phoneticPr fontId="8" type="noConversion"/>
  </si>
  <si>
    <t>From</t>
    <phoneticPr fontId="8" type="noConversion"/>
  </si>
  <si>
    <t>Unit</t>
    <phoneticPr fontId="8" type="noConversion"/>
  </si>
  <si>
    <t>To</t>
    <phoneticPr fontId="8" type="noConversion"/>
  </si>
  <si>
    <t>Unit</t>
    <phoneticPr fontId="8" type="noConversion"/>
  </si>
  <si>
    <t>kWh</t>
    <phoneticPr fontId="8" type="noConversion"/>
  </si>
  <si>
    <t>GJ</t>
    <phoneticPr fontId="8" type="noConversion"/>
  </si>
  <si>
    <t>Collected (kg)</t>
    <phoneticPr fontId="8" type="noConversion"/>
  </si>
  <si>
    <t>Collected (MT)</t>
    <phoneticPr fontId="8" type="noConversion"/>
  </si>
  <si>
    <t>Mixed Metals</t>
    <phoneticPr fontId="8" type="noConversion"/>
  </si>
  <si>
    <t>Food Waste</t>
    <phoneticPr fontId="8" type="noConversion"/>
  </si>
  <si>
    <t>Glass</t>
    <phoneticPr fontId="8" type="noConversion"/>
  </si>
  <si>
    <t>Mixed Plastics</t>
    <phoneticPr fontId="8" type="noConversion"/>
  </si>
  <si>
    <r>
      <t>Net Emissions (kg CO</t>
    </r>
    <r>
      <rPr>
        <b/>
        <vertAlign val="subscript"/>
        <sz val="10"/>
        <rFont val="Times New Roman"/>
      </rPr>
      <t>2</t>
    </r>
    <r>
      <rPr>
        <b/>
        <sz val="10"/>
        <rFont val="Times New Roman"/>
      </rPr>
      <t>e)</t>
    </r>
    <phoneticPr fontId="8" type="noConversion"/>
  </si>
  <si>
    <t>Total GHG Emissions After Reductions (t CO2-eq)</t>
  </si>
  <si>
    <t>Emission Factors</t>
    <phoneticPr fontId="8" type="noConversion"/>
  </si>
  <si>
    <t>Oven-Stove</t>
  </si>
  <si>
    <t xml:space="preserve">Warmer </t>
  </si>
  <si>
    <t xml:space="preserve">Steamer </t>
  </si>
  <si>
    <t>HVAC (Air Conditioning)</t>
    <phoneticPr fontId="8" type="noConversion"/>
  </si>
  <si>
    <t>HVAC (Ventiliation)</t>
    <phoneticPr fontId="8" type="noConversion"/>
  </si>
  <si>
    <t>Grid</t>
    <phoneticPr fontId="8" type="noConversion"/>
  </si>
  <si>
    <t>Steam</t>
    <phoneticPr fontId="8" type="noConversion"/>
  </si>
  <si>
    <t>N/A</t>
    <phoneticPr fontId="8" type="noConversion"/>
  </si>
  <si>
    <t>1=</t>
    <phoneticPr fontId="8" type="noConversion"/>
  </si>
  <si>
    <t>1=</t>
    <phoneticPr fontId="8" type="noConversion"/>
  </si>
  <si>
    <t>Corrugated Box</t>
    <phoneticPr fontId="8" type="noConversion"/>
  </si>
  <si>
    <t>Total Water Used by Type (L/year)</t>
    <phoneticPr fontId="8" type="noConversion"/>
  </si>
  <si>
    <r>
      <t>Water Used (m</t>
    </r>
    <r>
      <rPr>
        <b/>
        <vertAlign val="superscript"/>
        <sz val="10"/>
        <rFont val="Times New Roman"/>
      </rPr>
      <t>3</t>
    </r>
    <r>
      <rPr>
        <b/>
        <sz val="10"/>
        <rFont val="Times New Roman"/>
      </rPr>
      <t>)</t>
    </r>
    <phoneticPr fontId="8" type="noConversion"/>
  </si>
  <si>
    <t>Emission Factor [Supply]</t>
    <phoneticPr fontId="8" type="noConversion"/>
  </si>
  <si>
    <t>Emission Factor [Treatment]</t>
    <phoneticPr fontId="8" type="noConversion"/>
  </si>
  <si>
    <t>Lights</t>
    <phoneticPr fontId="8" type="noConversion"/>
  </si>
  <si>
    <t>Grid</t>
    <phoneticPr fontId="8" type="noConversion"/>
  </si>
  <si>
    <t>Grid</t>
    <phoneticPr fontId="8" type="noConversion"/>
  </si>
  <si>
    <t>Total GHG Reduction Potential (t of CO2) PER SCHOOL YEAR (8 months-242 days):</t>
    <phoneticPr fontId="8" type="noConversion"/>
  </si>
  <si>
    <r>
      <t>kWh to M</t>
    </r>
    <r>
      <rPr>
        <b/>
        <vertAlign val="superscript"/>
        <sz val="10"/>
        <rFont val="Verdana"/>
        <family val="2"/>
      </rPr>
      <t>3</t>
    </r>
    <r>
      <rPr>
        <b/>
        <sz val="10"/>
        <rFont val="Verdana"/>
      </rPr>
      <t>(Natural Gas)</t>
    </r>
    <phoneticPr fontId="8" type="noConversion"/>
  </si>
  <si>
    <t>1=</t>
    <phoneticPr fontId="8" type="noConversion"/>
  </si>
  <si>
    <t>Grid</t>
    <phoneticPr fontId="8" type="noConversion"/>
  </si>
  <si>
    <t>Natural gas</t>
    <phoneticPr fontId="8" type="noConversion"/>
  </si>
  <si>
    <t>Steam</t>
    <phoneticPr fontId="8" type="noConversion"/>
  </si>
  <si>
    <r>
      <t>gCO</t>
    </r>
    <r>
      <rPr>
        <vertAlign val="subscript"/>
        <sz val="10"/>
        <rFont val="Verdana"/>
        <family val="2"/>
      </rPr>
      <t>2</t>
    </r>
    <r>
      <rPr>
        <sz val="10"/>
        <rFont val="Verdana"/>
      </rPr>
      <t>/kWh</t>
    </r>
    <phoneticPr fontId="8" type="noConversion"/>
  </si>
  <si>
    <t xml:space="preserve">Coke Dispenser </t>
  </si>
  <si>
    <r>
      <t>Use (m</t>
    </r>
    <r>
      <rPr>
        <b/>
        <vertAlign val="superscript"/>
        <sz val="10"/>
        <rFont val="Times New Roman"/>
      </rPr>
      <t>3</t>
    </r>
    <r>
      <rPr>
        <b/>
        <sz val="10"/>
        <rFont val="Times New Roman"/>
      </rPr>
      <t>/y</t>
    </r>
    <phoneticPr fontId="8" type="noConversion"/>
  </si>
  <si>
    <r>
      <t>TOTAL NET EMISSIONS [GRID] (tCO</t>
    </r>
    <r>
      <rPr>
        <vertAlign val="subscript"/>
        <sz val="10"/>
        <color indexed="17"/>
        <rFont val="Times New Roman"/>
      </rPr>
      <t>2</t>
    </r>
    <r>
      <rPr>
        <sz val="10"/>
        <color indexed="17"/>
        <rFont val="Times New Roman"/>
      </rPr>
      <t>-eq/kWh)</t>
    </r>
    <phoneticPr fontId="8" type="noConversion"/>
  </si>
  <si>
    <r>
      <t>TOTAL NET EMISSIONS [NAT. GAS] (tCO</t>
    </r>
    <r>
      <rPr>
        <vertAlign val="subscript"/>
        <sz val="10"/>
        <color indexed="17"/>
        <rFont val="Times New Roman"/>
      </rPr>
      <t>2</t>
    </r>
    <r>
      <rPr>
        <sz val="10"/>
        <color indexed="17"/>
        <rFont val="Times New Roman"/>
      </rPr>
      <t>-eq/m3)</t>
    </r>
    <phoneticPr fontId="8" type="noConversion"/>
  </si>
  <si>
    <r>
      <t>TOTAL NET EMISSIONS [STEAM] (tCO</t>
    </r>
    <r>
      <rPr>
        <vertAlign val="subscript"/>
        <sz val="10"/>
        <color indexed="17"/>
        <rFont val="Times New Roman"/>
      </rPr>
      <t>2</t>
    </r>
    <r>
      <rPr>
        <sz val="10"/>
        <color indexed="17"/>
        <rFont val="Times New Roman"/>
      </rPr>
      <t>-eq/GJ)</t>
    </r>
    <phoneticPr fontId="8" type="noConversion"/>
  </si>
  <si>
    <r>
      <t>TOTAL NET EMISSIONS [ALL] (tCO</t>
    </r>
    <r>
      <rPr>
        <vertAlign val="subscript"/>
        <sz val="10"/>
        <color indexed="17"/>
        <rFont val="Times New Roman"/>
      </rPr>
      <t>2</t>
    </r>
    <r>
      <rPr>
        <sz val="10"/>
        <color indexed="17"/>
        <rFont val="Times New Roman"/>
      </rPr>
      <t>-eq)</t>
    </r>
    <phoneticPr fontId="8" type="noConversion"/>
  </si>
  <si>
    <t>Source: EPA 2004 Conversion Report</t>
    <phoneticPr fontId="8" type="noConversion"/>
  </si>
  <si>
    <t>Source: BC Gas</t>
    <phoneticPr fontId="8" type="noConversion"/>
  </si>
  <si>
    <r>
      <t>gCO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>/kWh</t>
    </r>
    <phoneticPr fontId="8" type="noConversion"/>
  </si>
  <si>
    <t>Total Current GHG Reduction (MT of CO2):</t>
    <phoneticPr fontId="8" type="noConversion"/>
  </si>
  <si>
    <r>
      <t>M</t>
    </r>
    <r>
      <rPr>
        <b/>
        <vertAlign val="superscript"/>
        <sz val="10"/>
        <rFont val="Verdana"/>
        <family val="2"/>
      </rPr>
      <t xml:space="preserve">3 </t>
    </r>
    <r>
      <rPr>
        <b/>
        <sz val="10"/>
        <rFont val="Verdana"/>
      </rPr>
      <t>to</t>
    </r>
    <r>
      <rPr>
        <b/>
        <vertAlign val="superscript"/>
        <sz val="10"/>
        <rFont val="Verdana"/>
        <family val="2"/>
      </rPr>
      <t xml:space="preserve"> </t>
    </r>
    <r>
      <rPr>
        <b/>
        <sz val="10"/>
        <rFont val="Verdana"/>
      </rPr>
      <t>kWh (Natural Gas)</t>
    </r>
    <phoneticPr fontId="8" type="noConversion"/>
  </si>
  <si>
    <t>1=</t>
    <phoneticPr fontId="8" type="noConversion"/>
  </si>
  <si>
    <t>Mixed Garbage (non-recylables)</t>
    <phoneticPr fontId="8" type="noConversion"/>
  </si>
  <si>
    <t>Pancakes (B-medium)</t>
    <phoneticPr fontId="8" type="noConversion"/>
  </si>
  <si>
    <t>Coffee (B-high)</t>
    <phoneticPr fontId="8" type="noConversion"/>
  </si>
  <si>
    <t>Leaks (5% more)</t>
    <phoneticPr fontId="8" type="noConversion"/>
  </si>
  <si>
    <t xml:space="preserve">Meals </t>
    <phoneticPr fontId="8" type="noConversion"/>
  </si>
  <si>
    <t>Oatmeal (B-low)</t>
    <phoneticPr fontId="8" type="noConversion"/>
  </si>
  <si>
    <t>Coffee (B-high)</t>
    <phoneticPr fontId="8" type="noConversion"/>
  </si>
  <si>
    <t>Pasta (L-low)</t>
    <phoneticPr fontId="8" type="noConversion"/>
  </si>
  <si>
    <t>Hot Lunch Meal (L-medium)</t>
    <phoneticPr fontId="8" type="noConversion"/>
  </si>
  <si>
    <t>Total Current GHG Reduction (MT of CO2):</t>
    <phoneticPr fontId="8" type="noConversion"/>
  </si>
  <si>
    <t>Total GHG Reduction Potential (MT of CO2):</t>
    <phoneticPr fontId="8" type="noConversion"/>
  </si>
  <si>
    <t>Total Waste Collected (t) PER SCHOOL YEAR (8 months - 242 days):</t>
  </si>
  <si>
    <t>2 Oven set, (Double Pastry Oven)</t>
  </si>
  <si>
    <t>Gas oven (ANCIENT)</t>
  </si>
  <si>
    <t>Oven/griddle/burner range</t>
  </si>
  <si>
    <t>Potential GHG Reduction (kg)</t>
    <phoneticPr fontId="8" type="noConversion"/>
  </si>
  <si>
    <t>Total GHG Reduction Potential (MT of CO2):</t>
    <phoneticPr fontId="8" type="noConversion"/>
  </si>
  <si>
    <t>Water supply</t>
  </si>
  <si>
    <t>cubic metres</t>
  </si>
  <si>
    <t>million litres</t>
  </si>
  <si>
    <t>Activity</t>
  </si>
  <si>
    <t>Water treatment</t>
  </si>
  <si>
    <t>Total CO2 equivalent</t>
    <phoneticPr fontId="8" type="noConversion"/>
  </si>
  <si>
    <t>Recycling</t>
    <phoneticPr fontId="8" type="noConversion"/>
  </si>
  <si>
    <r>
      <t>Potential GHG Reduction (MT of 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</rPr>
      <t>)</t>
    </r>
    <phoneticPr fontId="8" type="noConversion"/>
  </si>
  <si>
    <t>Potential GHG Reduction (MT of CO2)</t>
    <phoneticPr fontId="8" type="noConversion"/>
  </si>
  <si>
    <r>
      <t>Total GHG Reduction Potential (t CO</t>
    </r>
    <r>
      <rPr>
        <b/>
        <vertAlign val="subscript"/>
        <sz val="11"/>
        <color indexed="17"/>
        <rFont val="Times New Roman"/>
      </rPr>
      <t>2</t>
    </r>
    <r>
      <rPr>
        <b/>
        <sz val="11"/>
        <color indexed="17"/>
        <rFont val="Times New Roman"/>
      </rPr>
      <t>-eq) PER SCHOOL YEAR (8 months-242 days):</t>
    </r>
  </si>
  <si>
    <t>GHG Reduction:</t>
    <phoneticPr fontId="8" type="noConversion"/>
  </si>
  <si>
    <t>Steam Kettle #1</t>
  </si>
  <si>
    <t>Steam Kettle #2</t>
  </si>
  <si>
    <t>Steam Kettle #3</t>
  </si>
  <si>
    <t>(3) Deep Fryers</t>
  </si>
  <si>
    <t>Holder</t>
  </si>
  <si>
    <t>Fridge (2 door, dairy)</t>
  </si>
  <si>
    <t>Fridge (2 door, sandwiches &amp; drinks)</t>
  </si>
  <si>
    <t>Fridge (curved, glass)</t>
  </si>
  <si>
    <t>Fridge (floor level)</t>
  </si>
  <si>
    <t>Fridge (pizza, curved)</t>
  </si>
  <si>
    <t>Freezer (small)</t>
  </si>
  <si>
    <t>Fridge (desserts)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</si>
</sst>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_-* #,##0.000_-;\-* #,##0.000_-;_-* &quot;-&quot;??_-;_-@_-"/>
    <numFmt numFmtId="167" formatCode="_-* #,##0.000_-;\-* #,##0.000_-;_-* &quot;-&quot;???_-;_-@_-"/>
    <numFmt numFmtId="168" formatCode="0.000000"/>
    <numFmt numFmtId="169" formatCode="0.0000000"/>
    <numFmt numFmtId="170" formatCode="0.00"/>
    <numFmt numFmtId="171" formatCode="_(* #,##0.00_);_(* \(#,##0.00\);_(* &quot;-&quot;??_);_(@_)"/>
    <numFmt numFmtId="173" formatCode="_(* #,##0.00_);_(* \(#,##0.00\);_(* &quot;-&quot;??_);_(@_)"/>
  </numFmts>
  <fonts count="40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  <family val="2"/>
    </font>
    <font>
      <b/>
      <vertAlign val="subscript"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color indexed="8"/>
      <name val="Verdana"/>
      <family val="2"/>
    </font>
    <font>
      <vertAlign val="subscript"/>
      <sz val="10"/>
      <name val="Verdana"/>
      <family val="2"/>
    </font>
    <font>
      <b/>
      <vertAlign val="superscript"/>
      <sz val="10"/>
      <name val="Verdana"/>
      <family val="2"/>
    </font>
    <font>
      <b/>
      <sz val="11"/>
      <color indexed="17"/>
      <name val="Verdana"/>
      <family val="2"/>
    </font>
    <font>
      <sz val="10"/>
      <color indexed="17"/>
      <name val="Verdana"/>
      <family val="2"/>
    </font>
    <font>
      <b/>
      <sz val="10"/>
      <color indexed="10"/>
      <name val="Verdana"/>
      <family val="2"/>
    </font>
    <font>
      <sz val="10"/>
      <name val="Verdana"/>
    </font>
    <font>
      <b/>
      <sz val="12"/>
      <name val="Times New Roman"/>
    </font>
    <font>
      <sz val="12"/>
      <name val="Times New Roman"/>
    </font>
    <font>
      <sz val="10"/>
      <name val="Times New Roman"/>
    </font>
    <font>
      <b/>
      <sz val="10"/>
      <name val="Times New Roman"/>
    </font>
    <font>
      <b/>
      <vertAlign val="superscript"/>
      <sz val="10"/>
      <name val="Times New Roman"/>
    </font>
    <font>
      <b/>
      <vertAlign val="subscript"/>
      <sz val="10"/>
      <name val="Times New Roman"/>
    </font>
    <font>
      <b/>
      <sz val="10"/>
      <color indexed="10"/>
      <name val="Times New Roman"/>
    </font>
    <font>
      <b/>
      <sz val="11"/>
      <color indexed="17"/>
      <name val="Times New Roman"/>
    </font>
    <font>
      <b/>
      <sz val="11"/>
      <name val="Times New Roman"/>
    </font>
    <font>
      <b/>
      <sz val="10"/>
      <color indexed="17"/>
      <name val="Times New Roman"/>
    </font>
    <font>
      <b/>
      <sz val="10"/>
      <color indexed="8"/>
      <name val="Times New Roman"/>
      <family val="1"/>
    </font>
    <font>
      <i/>
      <sz val="10"/>
      <name val="Times New Roman"/>
    </font>
    <font>
      <sz val="10"/>
      <color indexed="17"/>
      <name val="Times New Roman"/>
    </font>
    <font>
      <b/>
      <vertAlign val="subscript"/>
      <sz val="11"/>
      <color indexed="17"/>
      <name val="Times New Roman"/>
    </font>
    <font>
      <vertAlign val="superscript"/>
      <sz val="10"/>
      <name val="Times New Roman"/>
    </font>
    <font>
      <vertAlign val="subscript"/>
      <sz val="10"/>
      <name val="Times New Roman"/>
    </font>
    <font>
      <sz val="10"/>
      <color indexed="8"/>
      <name val="Times New Roman"/>
      <family val="1"/>
    </font>
    <font>
      <sz val="11"/>
      <name val="Times New Roman"/>
    </font>
    <font>
      <sz val="11"/>
      <color indexed="8"/>
      <name val="Times New Roman"/>
      <family val="1"/>
    </font>
    <font>
      <sz val="12"/>
      <color indexed="63"/>
      <name val="Times New Roman"/>
    </font>
    <font>
      <vertAlign val="subscript"/>
      <sz val="10"/>
      <color indexed="17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98">
    <xf numFmtId="0" fontId="0" fillId="0" borderId="0" xfId="0"/>
    <xf numFmtId="0" fontId="7" fillId="0" borderId="0" xfId="0" applyFont="1"/>
    <xf numFmtId="0" fontId="7" fillId="0" borderId="6" xfId="0" applyFont="1" applyBorder="1"/>
    <xf numFmtId="0" fontId="7" fillId="0" borderId="0" xfId="0" applyFont="1" applyBorder="1"/>
    <xf numFmtId="0" fontId="7" fillId="0" borderId="3" xfId="0" applyFont="1" applyBorder="1"/>
    <xf numFmtId="0" fontId="0" fillId="0" borderId="4" xfId="0" applyBorder="1"/>
    <xf numFmtId="0" fontId="0" fillId="0" borderId="0" xfId="0" applyBorder="1"/>
    <xf numFmtId="0" fontId="7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/>
    <xf numFmtId="0" fontId="7" fillId="0" borderId="3" xfId="0" applyFont="1" applyFill="1" applyBorder="1"/>
    <xf numFmtId="0" fontId="7" fillId="0" borderId="1" xfId="0" applyFont="1" applyFill="1" applyBorder="1"/>
    <xf numFmtId="0" fontId="0" fillId="0" borderId="16" xfId="0" applyBorder="1"/>
    <xf numFmtId="0" fontId="0" fillId="0" borderId="16" xfId="0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16" xfId="0" applyFill="1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7" fillId="0" borderId="9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12" fillId="0" borderId="22" xfId="0" applyFont="1" applyBorder="1" applyAlignment="1">
      <alignment horizontal="right"/>
    </xf>
    <xf numFmtId="4" fontId="0" fillId="0" borderId="0" xfId="0" applyNumberFormat="1"/>
    <xf numFmtId="0" fontId="7" fillId="0" borderId="4" xfId="0" applyFont="1" applyBorder="1" applyAlignment="1">
      <alignment horizontal="left"/>
    </xf>
    <xf numFmtId="4" fontId="7" fillId="0" borderId="4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7" xfId="0" applyBorder="1"/>
    <xf numFmtId="0" fontId="0" fillId="0" borderId="6" xfId="0" applyBorder="1"/>
    <xf numFmtId="0" fontId="4" fillId="0" borderId="2" xfId="0" applyFont="1" applyBorder="1"/>
    <xf numFmtId="0" fontId="4" fillId="0" borderId="2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/>
    <xf numFmtId="0" fontId="4" fillId="0" borderId="8" xfId="0" applyFont="1" applyBorder="1"/>
    <xf numFmtId="0" fontId="5" fillId="0" borderId="17" xfId="0" applyFont="1" applyFill="1" applyBorder="1"/>
    <xf numFmtId="0" fontId="4" fillId="0" borderId="5" xfId="0" applyFont="1" applyBorder="1"/>
    <xf numFmtId="0" fontId="0" fillId="0" borderId="18" xfId="0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24" xfId="0" applyFill="1" applyBorder="1" applyAlignment="1">
      <alignment vertical="center"/>
    </xf>
    <xf numFmtId="3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5" fontId="0" fillId="0" borderId="16" xfId="0" applyNumberFormat="1" applyFill="1" applyBorder="1"/>
    <xf numFmtId="0" fontId="4" fillId="0" borderId="3" xfId="0" applyFont="1" applyFill="1" applyBorder="1" applyAlignment="1">
      <alignment vertical="center"/>
    </xf>
    <xf numFmtId="0" fontId="3" fillId="0" borderId="0" xfId="0" applyFont="1"/>
    <xf numFmtId="0" fontId="0" fillId="0" borderId="15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2" borderId="5" xfId="0" applyFont="1" applyFill="1" applyBorder="1"/>
    <xf numFmtId="0" fontId="0" fillId="2" borderId="7" xfId="0" applyFill="1" applyBorder="1"/>
    <xf numFmtId="0" fontId="4" fillId="2" borderId="7" xfId="0" applyFont="1" applyFill="1" applyBorder="1"/>
    <xf numFmtId="0" fontId="7" fillId="2" borderId="5" xfId="0" applyFont="1" applyFill="1" applyBorder="1"/>
    <xf numFmtId="0" fontId="7" fillId="3" borderId="0" xfId="0" applyFont="1" applyFill="1" applyAlignment="1"/>
    <xf numFmtId="0" fontId="0" fillId="4" borderId="13" xfId="0" applyFill="1" applyBorder="1"/>
    <xf numFmtId="4" fontId="0" fillId="4" borderId="13" xfId="0" applyNumberFormat="1" applyFill="1" applyBorder="1"/>
    <xf numFmtId="165" fontId="0" fillId="4" borderId="16" xfId="0" applyNumberFormat="1" applyFill="1" applyBorder="1"/>
    <xf numFmtId="0" fontId="5" fillId="4" borderId="14" xfId="0" applyFont="1" applyFill="1" applyBorder="1"/>
    <xf numFmtId="0" fontId="0" fillId="4" borderId="16" xfId="0" applyFill="1" applyBorder="1"/>
    <xf numFmtId="0" fontId="5" fillId="4" borderId="17" xfId="0" applyFont="1" applyFill="1" applyBorder="1"/>
    <xf numFmtId="0" fontId="0" fillId="4" borderId="19" xfId="0" applyFill="1" applyBorder="1"/>
    <xf numFmtId="165" fontId="0" fillId="4" borderId="19" xfId="0" applyNumberFormat="1" applyFill="1" applyBorder="1"/>
    <xf numFmtId="0" fontId="5" fillId="4" borderId="20" xfId="0" applyFont="1" applyFill="1" applyBorder="1"/>
    <xf numFmtId="0" fontId="0" fillId="0" borderId="0" xfId="0" applyFill="1"/>
    <xf numFmtId="0" fontId="0" fillId="5" borderId="16" xfId="0" applyFill="1" applyBorder="1"/>
    <xf numFmtId="0" fontId="17" fillId="0" borderId="26" xfId="0" applyFont="1" applyBorder="1"/>
    <xf numFmtId="0" fontId="7" fillId="0" borderId="10" xfId="0" applyFont="1" applyFill="1" applyBorder="1"/>
    <xf numFmtId="0" fontId="0" fillId="4" borderId="15" xfId="0" applyFill="1" applyBorder="1"/>
    <xf numFmtId="0" fontId="0" fillId="4" borderId="16" xfId="0" applyFill="1" applyBorder="1" applyAlignment="1">
      <alignment horizontal="left"/>
    </xf>
    <xf numFmtId="0" fontId="0" fillId="4" borderId="18" xfId="0" applyFill="1" applyBorder="1"/>
    <xf numFmtId="0" fontId="0" fillId="4" borderId="19" xfId="0" applyFill="1" applyBorder="1" applyAlignment="1">
      <alignment horizontal="left"/>
    </xf>
    <xf numFmtId="0" fontId="17" fillId="0" borderId="6" xfId="0" applyFont="1" applyBorder="1"/>
    <xf numFmtId="0" fontId="17" fillId="0" borderId="4" xfId="0" applyFont="1" applyBorder="1"/>
    <xf numFmtId="0" fontId="17" fillId="0" borderId="2" xfId="0" applyFont="1" applyBorder="1"/>
    <xf numFmtId="0" fontId="17" fillId="0" borderId="22" xfId="0" applyFont="1" applyBorder="1"/>
    <xf numFmtId="0" fontId="7" fillId="3" borderId="0" xfId="0" applyFont="1" applyFill="1"/>
    <xf numFmtId="0" fontId="17" fillId="0" borderId="28" xfId="0" applyFont="1" applyBorder="1"/>
    <xf numFmtId="0" fontId="0" fillId="0" borderId="24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4" borderId="24" xfId="0" applyFill="1" applyBorder="1"/>
    <xf numFmtId="0" fontId="0" fillId="0" borderId="29" xfId="0" applyFill="1" applyBorder="1" applyAlignment="1">
      <alignment vertical="center"/>
    </xf>
    <xf numFmtId="4" fontId="17" fillId="0" borderId="26" xfId="0" applyNumberFormat="1" applyFont="1" applyBorder="1"/>
    <xf numFmtId="4" fontId="17" fillId="0" borderId="27" xfId="0" applyNumberFormat="1" applyFont="1" applyBorder="1"/>
    <xf numFmtId="4" fontId="17" fillId="0" borderId="28" xfId="0" applyNumberFormat="1" applyFont="1" applyBorder="1"/>
    <xf numFmtId="165" fontId="0" fillId="5" borderId="16" xfId="0" applyNumberFormat="1" applyFill="1" applyBorder="1"/>
    <xf numFmtId="4" fontId="17" fillId="0" borderId="26" xfId="0" applyNumberFormat="1" applyFont="1" applyBorder="1"/>
    <xf numFmtId="4" fontId="17" fillId="0" borderId="27" xfId="0" applyNumberFormat="1" applyFont="1" applyBorder="1"/>
    <xf numFmtId="4" fontId="17" fillId="0" borderId="28" xfId="0" applyNumberFormat="1" applyFont="1" applyBorder="1"/>
    <xf numFmtId="4" fontId="0" fillId="0" borderId="0" xfId="0" applyNumberFormat="1"/>
    <xf numFmtId="4" fontId="4" fillId="0" borderId="0" xfId="0" applyNumberFormat="1" applyFont="1" applyBorder="1"/>
    <xf numFmtId="0" fontId="2" fillId="0" borderId="0" xfId="0" applyFont="1" applyAlignment="1">
      <alignment horizontal="left"/>
    </xf>
    <xf numFmtId="0" fontId="21" fillId="0" borderId="0" xfId="0" applyFont="1"/>
    <xf numFmtId="0" fontId="22" fillId="2" borderId="5" xfId="0" applyFont="1" applyFill="1" applyBorder="1"/>
    <xf numFmtId="0" fontId="21" fillId="2" borderId="7" xfId="0" applyFont="1" applyFill="1" applyBorder="1"/>
    <xf numFmtId="0" fontId="21" fillId="2" borderId="6" xfId="0" applyFont="1" applyFill="1" applyBorder="1"/>
    <xf numFmtId="0" fontId="22" fillId="0" borderId="3" xfId="0" applyFont="1" applyBorder="1"/>
    <xf numFmtId="0" fontId="22" fillId="0" borderId="0" xfId="0" applyFont="1" applyBorder="1"/>
    <xf numFmtId="0" fontId="22" fillId="0" borderId="4" xfId="0" applyFont="1" applyBorder="1"/>
    <xf numFmtId="0" fontId="21" fillId="0" borderId="0" xfId="0" applyFont="1" applyBorder="1"/>
    <xf numFmtId="0" fontId="21" fillId="0" borderId="4" xfId="0" applyFont="1" applyBorder="1"/>
    <xf numFmtId="0" fontId="21" fillId="0" borderId="8" xfId="0" applyFont="1" applyBorder="1"/>
    <xf numFmtId="0" fontId="21" fillId="0" borderId="2" xfId="0" applyFont="1" applyBorder="1"/>
    <xf numFmtId="0" fontId="21" fillId="0" borderId="1" xfId="0" applyFont="1" applyBorder="1"/>
    <xf numFmtId="0" fontId="22" fillId="3" borderId="0" xfId="0" applyFont="1" applyFill="1" applyAlignment="1">
      <alignment vertical="center"/>
    </xf>
    <xf numFmtId="0" fontId="21" fillId="3" borderId="0" xfId="0" applyFont="1" applyFill="1"/>
    <xf numFmtId="0" fontId="22" fillId="0" borderId="0" xfId="0" applyFont="1" applyBorder="1" applyAlignment="1">
      <alignment wrapText="1"/>
    </xf>
    <xf numFmtId="0" fontId="21" fillId="4" borderId="16" xfId="0" applyFont="1" applyFill="1" applyBorder="1"/>
    <xf numFmtId="0" fontId="21" fillId="0" borderId="16" xfId="0" applyFont="1" applyBorder="1"/>
    <xf numFmtId="0" fontId="21" fillId="6" borderId="16" xfId="0" applyFont="1" applyFill="1" applyBorder="1"/>
    <xf numFmtId="0" fontId="21" fillId="4" borderId="15" xfId="0" applyFont="1" applyFill="1" applyBorder="1"/>
    <xf numFmtId="0" fontId="21" fillId="4" borderId="17" xfId="0" applyFont="1" applyFill="1" applyBorder="1" applyAlignment="1">
      <alignment vertical="center"/>
    </xf>
    <xf numFmtId="0" fontId="21" fillId="6" borderId="18" xfId="0" applyFont="1" applyFill="1" applyBorder="1"/>
    <xf numFmtId="0" fontId="21" fillId="6" borderId="19" xfId="0" applyFont="1" applyFill="1" applyBorder="1"/>
    <xf numFmtId="0" fontId="21" fillId="6" borderId="2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5" fillId="0" borderId="34" xfId="0" applyFont="1" applyBorder="1"/>
    <xf numFmtId="0" fontId="25" fillId="0" borderId="25" xfId="0" applyFont="1" applyBorder="1"/>
    <xf numFmtId="0" fontId="25" fillId="0" borderId="11" xfId="0" applyFont="1" applyBorder="1"/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4" borderId="13" xfId="0" applyFont="1" applyFill="1" applyBorder="1"/>
    <xf numFmtId="0" fontId="21" fillId="0" borderId="16" xfId="0" applyFont="1" applyFill="1" applyBorder="1"/>
    <xf numFmtId="0" fontId="21" fillId="6" borderId="18" xfId="0" applyFont="1" applyFill="1" applyBorder="1" applyAlignment="1">
      <alignment vertical="center"/>
    </xf>
    <xf numFmtId="0" fontId="25" fillId="0" borderId="43" xfId="0" applyFont="1" applyBorder="1"/>
    <xf numFmtId="0" fontId="25" fillId="0" borderId="20" xfId="0" applyFont="1" applyBorder="1"/>
    <xf numFmtId="0" fontId="21" fillId="6" borderId="20" xfId="0" applyFont="1" applyFill="1" applyBorder="1"/>
    <xf numFmtId="0" fontId="21" fillId="0" borderId="0" xfId="0" applyFont="1" applyFill="1"/>
    <xf numFmtId="0" fontId="25" fillId="0" borderId="42" xfId="0" applyFont="1" applyBorder="1"/>
    <xf numFmtId="0" fontId="21" fillId="0" borderId="0" xfId="0" applyFont="1" applyFill="1" applyBorder="1"/>
    <xf numFmtId="166" fontId="21" fillId="0" borderId="0" xfId="1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164" fontId="21" fillId="0" borderId="0" xfId="1" applyFont="1" applyAlignment="1">
      <alignment horizontal="left" vertical="center"/>
    </xf>
    <xf numFmtId="0" fontId="22" fillId="2" borderId="5" xfId="0" applyFont="1" applyFill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10" xfId="1" applyNumberFormat="1" applyFont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1" applyNumberFormat="1" applyFont="1" applyBorder="1" applyAlignment="1">
      <alignment horizontal="center" vertical="center" wrapText="1"/>
    </xf>
    <xf numFmtId="0" fontId="22" fillId="3" borderId="10" xfId="1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164" fontId="21" fillId="0" borderId="13" xfId="1" applyFont="1" applyBorder="1" applyAlignment="1">
      <alignment horizontal="left" vertical="center"/>
    </xf>
    <xf numFmtId="166" fontId="21" fillId="0" borderId="13" xfId="1" applyNumberFormat="1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164" fontId="21" fillId="0" borderId="16" xfId="1" applyFont="1" applyBorder="1" applyAlignment="1">
      <alignment horizontal="left" vertical="center"/>
    </xf>
    <xf numFmtId="166" fontId="21" fillId="0" borderId="16" xfId="1" applyNumberFormat="1" applyFont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21" fillId="4" borderId="16" xfId="0" applyFont="1" applyFill="1" applyBorder="1" applyAlignment="1">
      <alignment vertical="center"/>
    </xf>
    <xf numFmtId="164" fontId="21" fillId="4" borderId="16" xfId="1" applyFont="1" applyFill="1" applyBorder="1" applyAlignment="1">
      <alignment horizontal="left" vertical="center"/>
    </xf>
    <xf numFmtId="166" fontId="21" fillId="4" borderId="16" xfId="1" applyNumberFormat="1" applyFont="1" applyFill="1" applyBorder="1" applyAlignment="1">
      <alignment vertical="center"/>
    </xf>
    <xf numFmtId="166" fontId="21" fillId="0" borderId="16" xfId="1" applyNumberFormat="1" applyFont="1" applyFill="1" applyBorder="1" applyAlignment="1">
      <alignment vertical="center"/>
    </xf>
    <xf numFmtId="0" fontId="21" fillId="4" borderId="18" xfId="0" applyFont="1" applyFill="1" applyBorder="1" applyAlignment="1">
      <alignment vertical="center"/>
    </xf>
    <xf numFmtId="0" fontId="21" fillId="4" borderId="19" xfId="0" applyFont="1" applyFill="1" applyBorder="1" applyAlignment="1">
      <alignment vertical="center"/>
    </xf>
    <xf numFmtId="164" fontId="21" fillId="4" borderId="19" xfId="1" applyFont="1" applyFill="1" applyBorder="1" applyAlignment="1">
      <alignment horizontal="left" vertical="center"/>
    </xf>
    <xf numFmtId="166" fontId="21" fillId="4" borderId="19" xfId="1" applyNumberFormat="1" applyFont="1" applyFill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1" fontId="25" fillId="0" borderId="7" xfId="1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4" fontId="22" fillId="0" borderId="6" xfId="1" applyFont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2" fillId="0" borderId="1" xfId="0" applyFont="1" applyFill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164" fontId="21" fillId="0" borderId="33" xfId="1" applyFont="1" applyBorder="1" applyAlignment="1">
      <alignment horizontal="left" vertical="center"/>
    </xf>
    <xf numFmtId="166" fontId="21" fillId="0" borderId="33" xfId="1" applyNumberFormat="1" applyFont="1" applyBorder="1" applyAlignment="1">
      <alignment vertical="center"/>
    </xf>
    <xf numFmtId="166" fontId="21" fillId="0" borderId="0" xfId="1" applyNumberFormat="1" applyFont="1" applyBorder="1" applyAlignment="1">
      <alignment vertical="center"/>
    </xf>
    <xf numFmtId="0" fontId="22" fillId="0" borderId="32" xfId="0" applyNumberFormat="1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2" fillId="0" borderId="33" xfId="1" applyNumberFormat="1" applyFont="1" applyBorder="1" applyAlignment="1">
      <alignment horizontal="center" vertical="center" wrapText="1"/>
    </xf>
    <xf numFmtId="0" fontId="22" fillId="0" borderId="33" xfId="0" applyNumberFormat="1" applyFont="1" applyFill="1" applyBorder="1" applyAlignment="1">
      <alignment horizontal="center" vertical="center" wrapText="1"/>
    </xf>
    <xf numFmtId="0" fontId="22" fillId="3" borderId="33" xfId="1" applyNumberFormat="1" applyFont="1" applyFill="1" applyBorder="1" applyAlignment="1">
      <alignment horizontal="center" vertical="center" wrapText="1"/>
    </xf>
    <xf numFmtId="0" fontId="22" fillId="3" borderId="34" xfId="1" applyNumberFormat="1" applyFont="1" applyFill="1" applyBorder="1" applyAlignment="1">
      <alignment horizontal="center" vertical="center" wrapText="1"/>
    </xf>
    <xf numFmtId="164" fontId="21" fillId="0" borderId="16" xfId="0" applyNumberFormat="1" applyFont="1" applyBorder="1" applyAlignment="1">
      <alignment vertical="center"/>
    </xf>
    <xf numFmtId="164" fontId="21" fillId="4" borderId="16" xfId="0" applyNumberFormat="1" applyFont="1" applyFill="1" applyBorder="1" applyAlignment="1">
      <alignment vertical="center"/>
    </xf>
    <xf numFmtId="167" fontId="21" fillId="4" borderId="16" xfId="0" applyNumberFormat="1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21" fillId="0" borderId="37" xfId="0" applyFont="1" applyFill="1" applyBorder="1" applyAlignment="1">
      <alignment vertical="center"/>
    </xf>
    <xf numFmtId="164" fontId="21" fillId="0" borderId="37" xfId="1" applyFont="1" applyFill="1" applyBorder="1" applyAlignment="1">
      <alignment horizontal="left" vertical="center"/>
    </xf>
    <xf numFmtId="164" fontId="21" fillId="0" borderId="37" xfId="0" applyNumberFormat="1" applyFont="1" applyFill="1" applyBorder="1" applyAlignment="1">
      <alignment vertical="center"/>
    </xf>
    <xf numFmtId="166" fontId="21" fillId="0" borderId="37" xfId="1" applyNumberFormat="1" applyFont="1" applyFill="1" applyBorder="1" applyAlignment="1">
      <alignment vertical="center"/>
    </xf>
    <xf numFmtId="166" fontId="21" fillId="0" borderId="38" xfId="1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4" fontId="21" fillId="0" borderId="13" xfId="1" quotePrefix="1" applyFont="1" applyFill="1" applyBorder="1" applyAlignment="1">
      <alignment horizontal="right" vertical="center"/>
    </xf>
    <xf numFmtId="164" fontId="21" fillId="0" borderId="13" xfId="1" applyFont="1" applyFill="1" applyBorder="1" applyAlignment="1">
      <alignment horizontal="left" vertical="center"/>
    </xf>
    <xf numFmtId="164" fontId="21" fillId="0" borderId="14" xfId="1" applyFont="1" applyFill="1" applyBorder="1" applyAlignment="1">
      <alignment horizontal="left" vertical="center"/>
    </xf>
    <xf numFmtId="164" fontId="21" fillId="0" borderId="19" xfId="1" quotePrefix="1" applyFont="1" applyFill="1" applyBorder="1" applyAlignment="1">
      <alignment horizontal="right" vertical="center"/>
    </xf>
    <xf numFmtId="164" fontId="22" fillId="0" borderId="19" xfId="1" applyFont="1" applyFill="1" applyBorder="1" applyAlignment="1">
      <alignment horizontal="left" vertical="center"/>
    </xf>
    <xf numFmtId="164" fontId="22" fillId="0" borderId="2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164" fontId="21" fillId="0" borderId="0" xfId="1" applyFont="1" applyFill="1" applyBorder="1" applyAlignment="1">
      <alignment horizontal="left" vertical="center"/>
    </xf>
    <xf numFmtId="9" fontId="22" fillId="0" borderId="39" xfId="2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9" fontId="21" fillId="0" borderId="17" xfId="2" applyFont="1" applyFill="1" applyBorder="1" applyAlignment="1">
      <alignment vertical="center"/>
    </xf>
    <xf numFmtId="9" fontId="21" fillId="0" borderId="40" xfId="2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9" fontId="21" fillId="0" borderId="20" xfId="2" applyFont="1" applyFill="1" applyBorder="1" applyAlignment="1">
      <alignment vertical="center"/>
    </xf>
    <xf numFmtId="9" fontId="21" fillId="0" borderId="41" xfId="2" applyFont="1" applyFill="1" applyBorder="1" applyAlignment="1">
      <alignment vertical="center"/>
    </xf>
    <xf numFmtId="166" fontId="22" fillId="0" borderId="4" xfId="1" applyNumberFormat="1" applyFont="1" applyBorder="1" applyAlignment="1">
      <alignment horizontal="right" vertical="center"/>
    </xf>
    <xf numFmtId="164" fontId="22" fillId="0" borderId="4" xfId="1" applyFont="1" applyBorder="1" applyAlignment="1">
      <alignment vertical="center"/>
    </xf>
    <xf numFmtId="164" fontId="22" fillId="0" borderId="2" xfId="1" applyNumberFormat="1" applyFont="1" applyBorder="1" applyAlignment="1">
      <alignment vertical="center"/>
    </xf>
    <xf numFmtId="0" fontId="21" fillId="6" borderId="0" xfId="0" applyFont="1" applyFill="1" applyBorder="1"/>
    <xf numFmtId="0" fontId="21" fillId="0" borderId="13" xfId="0" applyFont="1" applyFill="1" applyBorder="1"/>
    <xf numFmtId="0" fontId="21" fillId="0" borderId="48" xfId="0" applyFont="1" applyBorder="1"/>
    <xf numFmtId="0" fontId="21" fillId="0" borderId="43" xfId="0" applyFont="1" applyBorder="1"/>
    <xf numFmtId="0" fontId="21" fillId="0" borderId="51" xfId="0" applyFont="1" applyBorder="1"/>
    <xf numFmtId="0" fontId="21" fillId="0" borderId="21" xfId="0" applyFont="1" applyBorder="1"/>
    <xf numFmtId="0" fontId="21" fillId="0" borderId="49" xfId="0" applyFont="1" applyBorder="1"/>
    <xf numFmtId="0" fontId="21" fillId="0" borderId="50" xfId="0" applyFont="1" applyBorder="1"/>
    <xf numFmtId="0" fontId="22" fillId="0" borderId="22" xfId="0" applyFont="1" applyBorder="1"/>
    <xf numFmtId="0" fontId="21" fillId="0" borderId="42" xfId="0" applyFont="1" applyBorder="1"/>
    <xf numFmtId="0" fontId="22" fillId="0" borderId="51" xfId="0" applyFont="1" applyBorder="1"/>
    <xf numFmtId="0" fontId="22" fillId="0" borderId="21" xfId="0" applyFont="1" applyBorder="1"/>
    <xf numFmtId="0" fontId="22" fillId="2" borderId="47" xfId="0" applyFont="1" applyFill="1" applyBorder="1"/>
    <xf numFmtId="0" fontId="22" fillId="3" borderId="0" xfId="0" applyFont="1" applyFill="1"/>
    <xf numFmtId="0" fontId="21" fillId="0" borderId="9" xfId="0" applyFont="1" applyBorder="1"/>
    <xf numFmtId="0" fontId="21" fillId="0" borderId="10" xfId="0" applyFont="1" applyBorder="1"/>
    <xf numFmtId="0" fontId="22" fillId="0" borderId="53" xfId="0" applyFont="1" applyBorder="1"/>
    <xf numFmtId="0" fontId="22" fillId="0" borderId="30" xfId="0" applyFont="1" applyBorder="1"/>
    <xf numFmtId="0" fontId="27" fillId="0" borderId="30" xfId="0" applyFont="1" applyFill="1" applyBorder="1"/>
    <xf numFmtId="0" fontId="27" fillId="0" borderId="30" xfId="0" applyFont="1" applyFill="1" applyBorder="1" applyAlignment="1">
      <alignment horizontal="center" vertical="center" wrapText="1"/>
    </xf>
    <xf numFmtId="0" fontId="22" fillId="0" borderId="54" xfId="0" applyFont="1" applyBorder="1"/>
    <xf numFmtId="0" fontId="21" fillId="0" borderId="24" xfId="0" applyFont="1" applyBorder="1"/>
    <xf numFmtId="0" fontId="21" fillId="0" borderId="52" xfId="0" applyFont="1" applyBorder="1"/>
    <xf numFmtId="0" fontId="21" fillId="4" borderId="24" xfId="0" applyFont="1" applyFill="1" applyBorder="1"/>
    <xf numFmtId="0" fontId="21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top" wrapText="1"/>
    </xf>
    <xf numFmtId="0" fontId="21" fillId="4" borderId="29" xfId="0" applyFont="1" applyFill="1" applyBorder="1" applyAlignment="1">
      <alignment vertical="center"/>
    </xf>
    <xf numFmtId="0" fontId="21" fillId="0" borderId="0" xfId="0" applyFont="1" applyAlignment="1"/>
    <xf numFmtId="2" fontId="27" fillId="0" borderId="34" xfId="0" applyNumberFormat="1" applyFont="1" applyBorder="1"/>
    <xf numFmtId="2" fontId="27" fillId="0" borderId="20" xfId="0" applyNumberFormat="1" applyFont="1" applyBorder="1"/>
    <xf numFmtId="2" fontId="29" fillId="0" borderId="20" xfId="0" applyNumberFormat="1" applyFont="1" applyBorder="1"/>
    <xf numFmtId="0" fontId="21" fillId="4" borderId="16" xfId="0" applyFont="1" applyFill="1" applyBorder="1" applyAlignment="1"/>
    <xf numFmtId="0" fontId="22" fillId="0" borderId="55" xfId="0" applyFont="1" applyBorder="1" applyAlignment="1"/>
    <xf numFmtId="0" fontId="22" fillId="0" borderId="57" xfId="0" applyFont="1" applyBorder="1" applyAlignment="1"/>
    <xf numFmtId="0" fontId="22" fillId="0" borderId="58" xfId="0" applyFont="1" applyBorder="1" applyAlignment="1"/>
    <xf numFmtId="0" fontId="22" fillId="0" borderId="59" xfId="0" applyFont="1" applyBorder="1" applyAlignment="1"/>
    <xf numFmtId="0" fontId="22" fillId="0" borderId="60" xfId="0" applyFont="1" applyBorder="1" applyAlignment="1"/>
    <xf numFmtId="0" fontId="22" fillId="0" borderId="61" xfId="0" applyFont="1" applyBorder="1" applyAlignment="1"/>
    <xf numFmtId="0" fontId="26" fillId="0" borderId="55" xfId="0" applyFont="1" applyBorder="1" applyAlignment="1"/>
    <xf numFmtId="0" fontId="26" fillId="0" borderId="57" xfId="0" applyFont="1" applyBorder="1" applyAlignment="1"/>
    <xf numFmtId="0" fontId="26" fillId="0" borderId="58" xfId="0" applyFont="1" applyBorder="1" applyAlignment="1"/>
    <xf numFmtId="0" fontId="26" fillId="0" borderId="59" xfId="0" applyFont="1" applyBorder="1" applyAlignment="1"/>
    <xf numFmtId="0" fontId="28" fillId="0" borderId="60" xfId="0" applyFont="1" applyFill="1" applyBorder="1" applyAlignment="1"/>
    <xf numFmtId="0" fontId="28" fillId="0" borderId="61" xfId="0" applyFont="1" applyFill="1" applyBorder="1" applyAlignment="1"/>
    <xf numFmtId="0" fontId="21" fillId="4" borderId="16" xfId="0" applyFont="1" applyFill="1" applyBorder="1" applyAlignment="1">
      <alignment horizontal="left"/>
    </xf>
    <xf numFmtId="0" fontId="21" fillId="4" borderId="17" xfId="0" applyFont="1" applyFill="1" applyBorder="1" applyAlignment="1">
      <alignment horizontal="left"/>
    </xf>
    <xf numFmtId="0" fontId="21" fillId="6" borderId="17" xfId="0" applyFont="1" applyFill="1" applyBorder="1" applyAlignment="1">
      <alignment horizontal="left"/>
    </xf>
    <xf numFmtId="165" fontId="21" fillId="4" borderId="16" xfId="0" applyNumberFormat="1" applyFont="1" applyFill="1" applyBorder="1" applyAlignment="1">
      <alignment horizontal="right"/>
    </xf>
    <xf numFmtId="165" fontId="21" fillId="6" borderId="16" xfId="0" applyNumberFormat="1" applyFont="1" applyFill="1" applyBorder="1" applyAlignment="1">
      <alignment horizontal="right"/>
    </xf>
    <xf numFmtId="165" fontId="35" fillId="4" borderId="16" xfId="0" applyNumberFormat="1" applyFont="1" applyFill="1" applyBorder="1" applyAlignment="1">
      <alignment horizontal="left"/>
    </xf>
    <xf numFmtId="2" fontId="25" fillId="0" borderId="22" xfId="0" applyNumberFormat="1" applyFont="1" applyBorder="1"/>
    <xf numFmtId="165" fontId="21" fillId="4" borderId="33" xfId="0" applyNumberFormat="1" applyFont="1" applyFill="1" applyBorder="1"/>
    <xf numFmtId="165" fontId="21" fillId="4" borderId="34" xfId="0" applyNumberFormat="1" applyFont="1" applyFill="1" applyBorder="1"/>
    <xf numFmtId="165" fontId="35" fillId="4" borderId="16" xfId="0" applyNumberFormat="1" applyFont="1" applyFill="1" applyBorder="1"/>
    <xf numFmtId="165" fontId="21" fillId="4" borderId="16" xfId="0" applyNumberFormat="1" applyFont="1" applyFill="1" applyBorder="1"/>
    <xf numFmtId="165" fontId="21" fillId="4" borderId="17" xfId="0" applyNumberFormat="1" applyFont="1" applyFill="1" applyBorder="1"/>
    <xf numFmtId="165" fontId="35" fillId="0" borderId="16" xfId="0" applyNumberFormat="1" applyFont="1" applyFill="1" applyBorder="1"/>
    <xf numFmtId="165" fontId="21" fillId="0" borderId="16" xfId="0" applyNumberFormat="1" applyFont="1" applyBorder="1"/>
    <xf numFmtId="165" fontId="21" fillId="6" borderId="16" xfId="0" applyNumberFormat="1" applyFont="1" applyFill="1" applyBorder="1"/>
    <xf numFmtId="165" fontId="21" fillId="6" borderId="17" xfId="0" applyNumberFormat="1" applyFont="1" applyFill="1" applyBorder="1"/>
    <xf numFmtId="165" fontId="21" fillId="0" borderId="17" xfId="0" applyNumberFormat="1" applyFont="1" applyBorder="1"/>
    <xf numFmtId="2" fontId="25" fillId="0" borderId="34" xfId="0" applyNumberFormat="1" applyFont="1" applyBorder="1"/>
    <xf numFmtId="2" fontId="25" fillId="0" borderId="17" xfId="0" applyNumberFormat="1" applyFont="1" applyBorder="1"/>
    <xf numFmtId="2" fontId="25" fillId="0" borderId="25" xfId="0" applyNumberFormat="1" applyFont="1" applyBorder="1"/>
    <xf numFmtId="2" fontId="25" fillId="0" borderId="11" xfId="0" applyNumberFormat="1" applyFont="1" applyBorder="1"/>
    <xf numFmtId="165" fontId="21" fillId="0" borderId="0" xfId="0" applyNumberFormat="1" applyFont="1"/>
    <xf numFmtId="168" fontId="21" fillId="0" borderId="0" xfId="0" applyNumberFormat="1" applyFont="1"/>
    <xf numFmtId="169" fontId="21" fillId="0" borderId="0" xfId="0" applyNumberFormat="1" applyFont="1"/>
    <xf numFmtId="0" fontId="21" fillId="0" borderId="0" xfId="0" applyFont="1" applyBorder="1" applyAlignment="1">
      <alignment vertical="center"/>
    </xf>
    <xf numFmtId="0" fontId="21" fillId="0" borderId="29" xfId="0" applyFont="1" applyBorder="1" applyAlignment="1"/>
    <xf numFmtId="0" fontId="21" fillId="0" borderId="2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37" fillId="0" borderId="16" xfId="0" applyFont="1" applyFill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6" fillId="0" borderId="16" xfId="0" applyFont="1" applyFill="1" applyBorder="1" applyAlignment="1">
      <alignment vertical="center"/>
    </xf>
    <xf numFmtId="0" fontId="37" fillId="4" borderId="13" xfId="0" applyFont="1" applyFill="1" applyBorder="1" applyAlignment="1">
      <alignment vertical="center"/>
    </xf>
    <xf numFmtId="0" fontId="37" fillId="4" borderId="16" xfId="0" applyFont="1" applyFill="1" applyBorder="1" applyAlignment="1">
      <alignment vertical="center"/>
    </xf>
    <xf numFmtId="165" fontId="21" fillId="4" borderId="13" xfId="0" applyNumberFormat="1" applyFont="1" applyFill="1" applyBorder="1"/>
    <xf numFmtId="0" fontId="36" fillId="4" borderId="16" xfId="0" applyFont="1" applyFill="1" applyBorder="1" applyAlignment="1">
      <alignment vertical="center"/>
    </xf>
    <xf numFmtId="0" fontId="38" fillId="0" borderId="0" xfId="0" applyFont="1"/>
    <xf numFmtId="0" fontId="21" fillId="4" borderId="19" xfId="0" applyFont="1" applyFill="1" applyBorder="1" applyAlignment="1">
      <alignment horizontal="left"/>
    </xf>
    <xf numFmtId="165" fontId="21" fillId="4" borderId="19" xfId="0" applyNumberFormat="1" applyFont="1" applyFill="1" applyBorder="1" applyAlignment="1">
      <alignment horizontal="right"/>
    </xf>
    <xf numFmtId="0" fontId="21" fillId="4" borderId="20" xfId="0" applyFont="1" applyFill="1" applyBorder="1" applyAlignment="1">
      <alignment horizontal="left"/>
    </xf>
    <xf numFmtId="165" fontId="21" fillId="4" borderId="13" xfId="0" applyNumberFormat="1" applyFont="1" applyFill="1" applyBorder="1" applyAlignment="1">
      <alignment horizontal="right"/>
    </xf>
    <xf numFmtId="0" fontId="21" fillId="4" borderId="14" xfId="0" applyFont="1" applyFill="1" applyBorder="1" applyAlignment="1">
      <alignment horizontal="left"/>
    </xf>
    <xf numFmtId="0" fontId="22" fillId="0" borderId="9" xfId="0" applyFont="1" applyBorder="1"/>
    <xf numFmtId="0" fontId="22" fillId="0" borderId="10" xfId="0" applyFont="1" applyBorder="1"/>
    <xf numFmtId="0" fontId="27" fillId="0" borderId="10" xfId="0" applyFont="1" applyFill="1" applyBorder="1"/>
    <xf numFmtId="0" fontId="27" fillId="0" borderId="10" xfId="0" applyFont="1" applyFill="1" applyBorder="1" applyAlignment="1">
      <alignment horizontal="center" vertical="center" wrapText="1"/>
    </xf>
    <xf numFmtId="0" fontId="22" fillId="0" borderId="11" xfId="0" applyFont="1" applyBorder="1"/>
    <xf numFmtId="0" fontId="36" fillId="0" borderId="16" xfId="0" applyFont="1" applyBorder="1" applyAlignment="1">
      <alignment vertical="center"/>
    </xf>
    <xf numFmtId="165" fontId="21" fillId="4" borderId="19" xfId="0" applyNumberFormat="1" applyFont="1" applyFill="1" applyBorder="1"/>
    <xf numFmtId="165" fontId="21" fillId="4" borderId="20" xfId="0" applyNumberFormat="1" applyFont="1" applyFill="1" applyBorder="1"/>
    <xf numFmtId="165" fontId="21" fillId="4" borderId="14" xfId="0" applyNumberFormat="1" applyFont="1" applyFill="1" applyBorder="1"/>
    <xf numFmtId="0" fontId="36" fillId="4" borderId="13" xfId="0" applyFont="1" applyFill="1" applyBorder="1" applyAlignment="1">
      <alignment vertical="center"/>
    </xf>
    <xf numFmtId="165" fontId="25" fillId="0" borderId="21" xfId="0" applyNumberFormat="1" applyFont="1" applyBorder="1"/>
    <xf numFmtId="0" fontId="37" fillId="4" borderId="16" xfId="0" applyFont="1" applyFill="1" applyBorder="1" applyAlignment="1">
      <alignment horizontal="left" vertical="center"/>
    </xf>
    <xf numFmtId="0" fontId="37" fillId="4" borderId="33" xfId="0" applyFont="1" applyFill="1" applyBorder="1" applyAlignment="1">
      <alignment vertical="center"/>
    </xf>
    <xf numFmtId="165" fontId="35" fillId="4" borderId="19" xfId="0" applyNumberFormat="1" applyFont="1" applyFill="1" applyBorder="1"/>
    <xf numFmtId="170" fontId="25" fillId="0" borderId="34" xfId="0" applyNumberFormat="1" applyFont="1" applyBorder="1"/>
    <xf numFmtId="170" fontId="25" fillId="0" borderId="17" xfId="0" applyNumberFormat="1" applyFont="1" applyBorder="1"/>
    <xf numFmtId="170" fontId="25" fillId="0" borderId="25" xfId="0" applyNumberFormat="1" applyFont="1" applyBorder="1"/>
    <xf numFmtId="170" fontId="25" fillId="0" borderId="11" xfId="0" applyNumberFormat="1" applyFont="1" applyBorder="1"/>
    <xf numFmtId="0" fontId="31" fillId="0" borderId="15" xfId="0" applyFont="1" applyBorder="1" applyAlignment="1"/>
    <xf numFmtId="0" fontId="31" fillId="0" borderId="16" xfId="0" applyFont="1" applyBorder="1" applyAlignment="1"/>
    <xf numFmtId="0" fontId="31" fillId="0" borderId="16" xfId="0" applyFont="1" applyBorder="1"/>
    <xf numFmtId="0" fontId="31" fillId="0" borderId="29" xfId="0" applyFont="1" applyBorder="1" applyAlignment="1"/>
    <xf numFmtId="0" fontId="31" fillId="0" borderId="24" xfId="0" applyFont="1" applyBorder="1" applyAlignment="1"/>
    <xf numFmtId="0" fontId="31" fillId="0" borderId="24" xfId="0" applyFont="1" applyBorder="1"/>
    <xf numFmtId="0" fontId="31" fillId="0" borderId="9" xfId="0" applyFont="1" applyBorder="1"/>
    <xf numFmtId="0" fontId="31" fillId="0" borderId="10" xfId="0" applyFont="1" applyBorder="1"/>
    <xf numFmtId="0" fontId="15" fillId="0" borderId="5" xfId="0" applyFont="1" applyBorder="1" applyAlignment="1"/>
    <xf numFmtId="0" fontId="15" fillId="0" borderId="7" xfId="0" applyFont="1" applyBorder="1" applyAlignment="1"/>
    <xf numFmtId="0" fontId="16" fillId="0" borderId="7" xfId="0" applyFont="1" applyBorder="1" applyAlignment="1"/>
    <xf numFmtId="0" fontId="15" fillId="0" borderId="1" xfId="0" applyFont="1" applyBorder="1" applyAlignment="1"/>
    <xf numFmtId="0" fontId="16" fillId="0" borderId="8" xfId="0" applyFont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vertical="center"/>
    </xf>
    <xf numFmtId="0" fontId="7" fillId="0" borderId="1" xfId="0" applyFont="1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4" borderId="19" xfId="0" applyFill="1" applyBorder="1" applyAlignment="1">
      <alignment vertical="center"/>
    </xf>
    <xf numFmtId="0" fontId="7" fillId="0" borderId="0" xfId="0" applyFont="1" applyFill="1" applyBorder="1" applyAlignment="1"/>
    <xf numFmtId="0" fontId="0" fillId="0" borderId="0" xfId="0" applyAlignment="1"/>
    <xf numFmtId="0" fontId="0" fillId="0" borderId="21" xfId="0" applyBorder="1" applyAlignment="1"/>
    <xf numFmtId="0" fontId="6" fillId="0" borderId="0" xfId="0" applyFont="1"/>
    <xf numFmtId="0" fontId="7" fillId="0" borderId="0" xfId="0" applyFont="1"/>
    <xf numFmtId="0" fontId="7" fillId="0" borderId="21" xfId="0" applyFont="1" applyBorder="1"/>
    <xf numFmtId="0" fontId="7" fillId="0" borderId="23" xfId="0" applyFont="1" applyBorder="1"/>
    <xf numFmtId="0" fontId="22" fillId="0" borderId="3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66" fontId="21" fillId="0" borderId="30" xfId="1" applyNumberFormat="1" applyFont="1" applyBorder="1" applyAlignment="1">
      <alignment vertical="center"/>
    </xf>
    <xf numFmtId="166" fontId="21" fillId="0" borderId="13" xfId="1" applyNumberFormat="1" applyFont="1" applyBorder="1" applyAlignment="1">
      <alignment vertical="center"/>
    </xf>
    <xf numFmtId="166" fontId="21" fillId="4" borderId="16" xfId="1" applyNumberFormat="1" applyFont="1" applyFill="1" applyBorder="1" applyAlignment="1">
      <alignment vertical="center"/>
    </xf>
    <xf numFmtId="166" fontId="21" fillId="0" borderId="16" xfId="1" applyNumberFormat="1" applyFont="1" applyBorder="1" applyAlignment="1">
      <alignment vertical="center"/>
    </xf>
    <xf numFmtId="0" fontId="21" fillId="4" borderId="16" xfId="0" applyFont="1" applyFill="1" applyBorder="1" applyAlignment="1">
      <alignment vertical="center"/>
    </xf>
    <xf numFmtId="166" fontId="21" fillId="0" borderId="33" xfId="1" applyNumberFormat="1" applyFont="1" applyBorder="1" applyAlignment="1">
      <alignment vertical="center"/>
    </xf>
    <xf numFmtId="0" fontId="21" fillId="4" borderId="19" xfId="0" applyFont="1" applyFill="1" applyBorder="1" applyAlignment="1">
      <alignment vertical="center"/>
    </xf>
    <xf numFmtId="166" fontId="21" fillId="4" borderId="35" xfId="1" applyNumberFormat="1" applyFont="1" applyFill="1" applyBorder="1" applyAlignment="1">
      <alignment vertical="center"/>
    </xf>
    <xf numFmtId="0" fontId="21" fillId="0" borderId="16" xfId="0" applyFont="1" applyBorder="1" applyAlignment="1">
      <alignment vertical="center"/>
    </xf>
    <xf numFmtId="166" fontId="21" fillId="4" borderId="19" xfId="1" applyNumberFormat="1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1" fillId="0" borderId="8" xfId="0" applyFont="1" applyBorder="1" applyAlignment="1">
      <alignment vertical="center"/>
    </xf>
    <xf numFmtId="166" fontId="21" fillId="4" borderId="24" xfId="1" applyNumberFormat="1" applyFont="1" applyFill="1" applyBorder="1" applyAlignment="1">
      <alignment vertical="center"/>
    </xf>
    <xf numFmtId="166" fontId="21" fillId="4" borderId="31" xfId="1" applyNumberFormat="1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166" fontId="21" fillId="0" borderId="17" xfId="1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166" fontId="21" fillId="4" borderId="17" xfId="1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21" fillId="4" borderId="29" xfId="0" applyFont="1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21" fillId="4" borderId="24" xfId="0" applyFont="1" applyFill="1" applyBorder="1" applyAlignment="1">
      <alignment vertical="center"/>
    </xf>
    <xf numFmtId="0" fontId="0" fillId="4" borderId="45" xfId="0" applyFill="1" applyBorder="1" applyAlignment="1"/>
    <xf numFmtId="0" fontId="0" fillId="0" borderId="13" xfId="0" applyBorder="1" applyAlignment="1"/>
    <xf numFmtId="0" fontId="21" fillId="4" borderId="25" xfId="0" applyFont="1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5" xfId="0" applyBorder="1" applyAlignment="1"/>
    <xf numFmtId="0" fontId="0" fillId="0" borderId="44" xfId="0" applyBorder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1" fillId="4" borderId="17" xfId="0" applyFont="1" applyFill="1" applyBorder="1" applyAlignment="1">
      <alignment vertical="center"/>
    </xf>
    <xf numFmtId="0" fontId="21" fillId="4" borderId="30" xfId="0" applyFont="1" applyFill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1" fillId="4" borderId="45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1" fillId="4" borderId="46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45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21" fillId="0" borderId="46" xfId="0" applyFont="1" applyFill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2" fillId="0" borderId="32" xfId="0" applyFont="1" applyBorder="1" applyAlignment="1"/>
    <xf numFmtId="0" fontId="22" fillId="0" borderId="33" xfId="0" applyFont="1" applyBorder="1" applyAlignment="1"/>
    <xf numFmtId="0" fontId="21" fillId="4" borderId="54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9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2" fillId="0" borderId="29" xfId="0" applyFont="1" applyBorder="1" applyAlignment="1"/>
    <xf numFmtId="0" fontId="22" fillId="0" borderId="24" xfId="0" applyFont="1" applyBorder="1" applyAlignment="1"/>
    <xf numFmtId="0" fontId="21" fillId="0" borderId="12" xfId="0" applyFont="1" applyBorder="1" applyAlignment="1">
      <alignment vertical="center"/>
    </xf>
    <xf numFmtId="0" fontId="22" fillId="0" borderId="9" xfId="0" applyFont="1" applyBorder="1" applyAlignment="1"/>
    <xf numFmtId="0" fontId="22" fillId="0" borderId="10" xfId="0" applyFont="1" applyBorder="1" applyAlignment="1"/>
    <xf numFmtId="0" fontId="31" fillId="0" borderId="32" xfId="0" applyFont="1" applyBorder="1" applyAlignment="1"/>
    <xf numFmtId="0" fontId="31" fillId="0" borderId="33" xfId="0" applyFont="1" applyBorder="1" applyAlignment="1"/>
    <xf numFmtId="0" fontId="21" fillId="0" borderId="55" xfId="0" applyFont="1" applyBorder="1" applyAlignment="1"/>
    <xf numFmtId="0" fontId="21" fillId="0" borderId="56" xfId="0" applyFont="1" applyBorder="1" applyAlignment="1"/>
    <xf numFmtId="0" fontId="21" fillId="0" borderId="57" xfId="0" applyFont="1" applyBorder="1" applyAlignment="1"/>
    <xf numFmtId="165" fontId="21" fillId="6" borderId="16" xfId="0" applyNumberFormat="1" applyFont="1" applyFill="1" applyBorder="1" applyAlignment="1">
      <alignment vertical="center"/>
    </xf>
    <xf numFmtId="165" fontId="21" fillId="4" borderId="33" xfId="0" applyNumberFormat="1" applyFont="1" applyFill="1" applyBorder="1" applyAlignment="1">
      <alignment vertical="center"/>
    </xf>
    <xf numFmtId="165" fontId="21" fillId="4" borderId="16" xfId="0" applyNumberFormat="1" applyFont="1" applyFill="1" applyBorder="1" applyAlignment="1">
      <alignment vertical="center"/>
    </xf>
    <xf numFmtId="165" fontId="21" fillId="0" borderId="16" xfId="0" applyNumberFormat="1" applyFont="1" applyBorder="1" applyAlignment="1">
      <alignment vertical="center"/>
    </xf>
    <xf numFmtId="165" fontId="21" fillId="4" borderId="19" xfId="0" applyNumberFormat="1" applyFont="1" applyFill="1" applyBorder="1" applyAlignment="1">
      <alignment vertical="center"/>
    </xf>
    <xf numFmtId="165" fontId="21" fillId="0" borderId="15" xfId="0" applyNumberFormat="1" applyFont="1" applyBorder="1" applyAlignment="1">
      <alignment vertical="center"/>
    </xf>
    <xf numFmtId="165" fontId="21" fillId="0" borderId="18" xfId="0" applyNumberFormat="1" applyFont="1" applyBorder="1" applyAlignment="1">
      <alignment vertical="center"/>
    </xf>
    <xf numFmtId="0" fontId="22" fillId="3" borderId="50" xfId="0" applyFont="1" applyFill="1" applyBorder="1" applyAlignment="1"/>
    <xf numFmtId="165" fontId="21" fillId="0" borderId="32" xfId="0" applyNumberFormat="1" applyFont="1" applyBorder="1" applyAlignment="1">
      <alignment vertical="center"/>
    </xf>
    <xf numFmtId="165" fontId="35" fillId="4" borderId="33" xfId="0" applyNumberFormat="1" applyFont="1" applyFill="1" applyBorder="1" applyAlignment="1">
      <alignment vertical="center"/>
    </xf>
    <xf numFmtId="165" fontId="35" fillId="0" borderId="16" xfId="0" applyNumberFormat="1" applyFont="1" applyFill="1" applyBorder="1" applyAlignment="1">
      <alignment vertical="center"/>
    </xf>
    <xf numFmtId="165" fontId="21" fillId="4" borderId="13" xfId="0" applyNumberFormat="1" applyFont="1" applyFill="1" applyBorder="1" applyAlignment="1">
      <alignment horizontal="right" vertical="center"/>
    </xf>
    <xf numFmtId="165" fontId="21" fillId="4" borderId="16" xfId="0" applyNumberFormat="1" applyFont="1" applyFill="1" applyBorder="1" applyAlignment="1">
      <alignment horizontal="right" vertical="center"/>
    </xf>
    <xf numFmtId="165" fontId="21" fillId="6" borderId="16" xfId="0" applyNumberFormat="1" applyFont="1" applyFill="1" applyBorder="1" applyAlignment="1">
      <alignment horizontal="right" vertical="center"/>
    </xf>
    <xf numFmtId="165" fontId="21" fillId="0" borderId="16" xfId="0" applyNumberFormat="1" applyFont="1" applyBorder="1" applyAlignment="1">
      <alignment horizontal="right" vertical="center"/>
    </xf>
    <xf numFmtId="165" fontId="21" fillId="0" borderId="19" xfId="0" applyNumberFormat="1" applyFont="1" applyBorder="1" applyAlignment="1">
      <alignment horizontal="right" vertical="center"/>
    </xf>
    <xf numFmtId="165" fontId="21" fillId="4" borderId="13" xfId="0" applyNumberFormat="1" applyFont="1" applyFill="1" applyBorder="1" applyAlignment="1">
      <alignment vertical="center"/>
    </xf>
    <xf numFmtId="0" fontId="22" fillId="3" borderId="0" xfId="0" applyFont="1" applyFill="1" applyBorder="1" applyAlignment="1"/>
    <xf numFmtId="0" fontId="21" fillId="0" borderId="0" xfId="0" applyFont="1" applyBorder="1" applyAlignment="1"/>
    <xf numFmtId="0" fontId="21" fillId="0" borderId="29" xfId="0" applyFont="1" applyBorder="1" applyAlignment="1"/>
    <xf numFmtId="0" fontId="21" fillId="0" borderId="24" xfId="0" applyFont="1" applyBorder="1" applyAlignment="1"/>
    <xf numFmtId="0" fontId="21" fillId="4" borderId="16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1" fillId="0" borderId="12" xfId="0" applyNumberFormat="1" applyFont="1" applyBorder="1" applyAlignment="1">
      <alignment vertical="center"/>
    </xf>
    <xf numFmtId="0" fontId="21" fillId="0" borderId="15" xfId="0" applyFont="1" applyBorder="1"/>
    <xf numFmtId="165" fontId="21" fillId="0" borderId="19" xfId="0" applyNumberFormat="1" applyFont="1" applyBorder="1" applyAlignment="1">
      <alignment vertical="center"/>
    </xf>
    <xf numFmtId="0" fontId="22" fillId="2" borderId="47" xfId="0" applyFont="1" applyFill="1" applyBorder="1" applyAlignment="1"/>
    <xf numFmtId="0" fontId="22" fillId="2" borderId="48" xfId="0" applyFont="1" applyFill="1" applyBorder="1" applyAlignment="1"/>
    <xf numFmtId="0" fontId="21" fillId="6" borderId="12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6" borderId="16" xfId="0" applyFont="1" applyFill="1" applyBorder="1" applyAlignment="1">
      <alignment horizontal="left" vertical="center"/>
    </xf>
    <xf numFmtId="165" fontId="35" fillId="0" borderId="16" xfId="0" applyNumberFormat="1" applyFont="1" applyBorder="1" applyAlignment="1">
      <alignment vertical="center"/>
    </xf>
    <xf numFmtId="164" fontId="25" fillId="0" borderId="6" xfId="1" applyFont="1" applyBorder="1" applyAlignment="1">
      <alignment horizontal="left" vertical="center"/>
    </xf>
    <xf numFmtId="164" fontId="25" fillId="0" borderId="4" xfId="1" applyFont="1" applyBorder="1" applyAlignment="1">
      <alignment horizontal="right" vertical="center"/>
    </xf>
    <xf numFmtId="164" fontId="25" fillId="0" borderId="2" xfId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2" fontId="22" fillId="0" borderId="4" xfId="1" applyNumberFormat="1" applyFont="1" applyBorder="1" applyAlignment="1">
      <alignment vertical="center"/>
    </xf>
    <xf numFmtId="11" fontId="22" fillId="0" borderId="4" xfId="1" applyNumberFormat="1" applyFont="1" applyBorder="1" applyAlignment="1">
      <alignment vertical="center"/>
    </xf>
    <xf numFmtId="11" fontId="22" fillId="0" borderId="7" xfId="1" applyNumberFormat="1" applyFont="1" applyBorder="1" applyAlignment="1">
      <alignment vertical="center"/>
    </xf>
    <xf numFmtId="173" fontId="21" fillId="0" borderId="0" xfId="0" applyNumberFormat="1" applyFont="1" applyAlignment="1">
      <alignment vertical="center"/>
    </xf>
    <xf numFmtId="170" fontId="21" fillId="0" borderId="0" xfId="0" applyNumberFormat="1" applyFont="1" applyAlignment="1">
      <alignment vertical="center"/>
    </xf>
    <xf numFmtId="170" fontId="30" fillId="0" borderId="0" xfId="0" applyNumberFormat="1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20"/>
  <sheetViews>
    <sheetView workbookViewId="0">
      <selection activeCell="C214" sqref="C214"/>
    </sheetView>
  </sheetViews>
  <sheetFormatPr baseColWidth="10" defaultColWidth="11" defaultRowHeight="13"/>
  <cols>
    <col min="1" max="1" width="28.140625" customWidth="1"/>
    <col min="2" max="2" width="12.85546875" bestFit="1" customWidth="1"/>
    <col min="3" max="3" width="25.42578125" bestFit="1" customWidth="1"/>
    <col min="4" max="4" width="9.5703125" style="11" customWidth="1"/>
    <col min="5" max="5" width="9.42578125" customWidth="1"/>
    <col min="6" max="6" width="13" bestFit="1" customWidth="1"/>
    <col min="7" max="7" width="14" bestFit="1" customWidth="1"/>
    <col min="8" max="8" width="11" customWidth="1"/>
    <col min="9" max="9" width="8.5703125" customWidth="1"/>
  </cols>
  <sheetData>
    <row r="1" spans="1:6" ht="16">
      <c r="A1" s="342" t="s">
        <v>195</v>
      </c>
      <c r="B1" s="343"/>
      <c r="C1" s="343"/>
      <c r="D1" s="343"/>
      <c r="E1" s="343"/>
      <c r="F1" s="343"/>
    </row>
    <row r="2" spans="1:6">
      <c r="A2" s="1"/>
      <c r="B2" s="1"/>
      <c r="C2" s="1"/>
    </row>
    <row r="3" spans="1:6">
      <c r="A3" s="64" t="s">
        <v>173</v>
      </c>
      <c r="B3" s="2"/>
      <c r="C3" s="3"/>
    </row>
    <row r="4" spans="1:6">
      <c r="A4" s="4" t="s">
        <v>174</v>
      </c>
      <c r="B4" s="5"/>
      <c r="C4" s="6"/>
    </row>
    <row r="5" spans="1:6">
      <c r="A5" s="4" t="s">
        <v>175</v>
      </c>
      <c r="B5" s="34">
        <v>1E-3</v>
      </c>
      <c r="C5" s="36" t="s">
        <v>512</v>
      </c>
      <c r="E5" s="58" t="s">
        <v>281</v>
      </c>
    </row>
    <row r="6" spans="1:6" ht="15">
      <c r="A6" s="4" t="s">
        <v>256</v>
      </c>
      <c r="B6" s="34"/>
      <c r="C6" s="9"/>
      <c r="E6" t="s">
        <v>529</v>
      </c>
    </row>
    <row r="7" spans="1:6">
      <c r="A7" s="4" t="s">
        <v>247</v>
      </c>
      <c r="B7" s="35">
        <v>2204.6</v>
      </c>
      <c r="C7" s="36" t="s">
        <v>512</v>
      </c>
    </row>
    <row r="8" spans="1:6" ht="15">
      <c r="A8" s="4" t="s">
        <v>398</v>
      </c>
      <c r="B8" s="34"/>
      <c r="C8" s="9"/>
    </row>
    <row r="9" spans="1:6">
      <c r="A9" s="7" t="s">
        <v>247</v>
      </c>
      <c r="B9" s="8">
        <v>0.45358999999999999</v>
      </c>
      <c r="C9" s="36" t="s">
        <v>512</v>
      </c>
    </row>
    <row r="10" spans="1:6">
      <c r="A10" s="3"/>
      <c r="B10" s="9"/>
      <c r="C10" s="9"/>
    </row>
    <row r="11" spans="1:6">
      <c r="A11" s="64" t="s">
        <v>531</v>
      </c>
      <c r="B11" s="12"/>
      <c r="C11" s="13"/>
    </row>
    <row r="12" spans="1:6">
      <c r="A12" s="347" t="s">
        <v>231</v>
      </c>
      <c r="B12" s="348"/>
      <c r="C12" s="349"/>
      <c r="D12" s="11" t="s">
        <v>143</v>
      </c>
    </row>
    <row r="13" spans="1:6">
      <c r="A13" s="3"/>
      <c r="B13" s="9"/>
      <c r="C13" s="9"/>
    </row>
    <row r="14" spans="1:6">
      <c r="A14" s="3"/>
      <c r="B14" s="9"/>
      <c r="C14" s="9"/>
    </row>
    <row r="16" spans="1:6" ht="14" thickBot="1">
      <c r="A16" s="65" t="s">
        <v>176</v>
      </c>
      <c r="B16" s="10"/>
    </row>
    <row r="17" spans="1:10" ht="16" thickBot="1">
      <c r="A17" s="28" t="s">
        <v>358</v>
      </c>
      <c r="B17" s="29" t="s">
        <v>359</v>
      </c>
      <c r="C17" s="29" t="s">
        <v>360</v>
      </c>
      <c r="D17" s="30" t="s">
        <v>361</v>
      </c>
      <c r="E17" s="78" t="s">
        <v>571</v>
      </c>
      <c r="F17" s="29" t="s">
        <v>572</v>
      </c>
      <c r="G17" s="29" t="s">
        <v>532</v>
      </c>
      <c r="H17" s="29" t="s">
        <v>641</v>
      </c>
      <c r="I17" s="29" t="s">
        <v>632</v>
      </c>
      <c r="J17" s="31" t="s">
        <v>556</v>
      </c>
    </row>
    <row r="18" spans="1:10">
      <c r="A18" s="24" t="s">
        <v>574</v>
      </c>
      <c r="B18" s="344" t="s">
        <v>518</v>
      </c>
      <c r="C18" s="25" t="s">
        <v>194</v>
      </c>
      <c r="D18" s="26">
        <v>-0.2</v>
      </c>
      <c r="E18" s="25">
        <v>25</v>
      </c>
      <c r="F18" s="25">
        <f>E18*B$5</f>
        <v>2.5000000000000001E-2</v>
      </c>
      <c r="G18" s="25">
        <f>F18*D18</f>
        <v>-5.000000000000001E-3</v>
      </c>
      <c r="H18" s="344">
        <f>-(G19)+(G18)</f>
        <v>-2.2749999999999999E-2</v>
      </c>
      <c r="I18" s="344"/>
      <c r="J18" s="27" t="s">
        <v>530</v>
      </c>
    </row>
    <row r="19" spans="1:10">
      <c r="A19" s="21" t="s">
        <v>574</v>
      </c>
      <c r="B19" s="345"/>
      <c r="C19" s="17" t="s">
        <v>225</v>
      </c>
      <c r="D19" s="18">
        <v>0.71</v>
      </c>
      <c r="E19" s="17">
        <v>25</v>
      </c>
      <c r="F19" s="17">
        <f t="shared" ref="F19:F55" si="0">E19*B$5</f>
        <v>2.5000000000000001E-2</v>
      </c>
      <c r="G19" s="17">
        <f t="shared" ref="G19:G55" si="1">F19*D19</f>
        <v>1.7749999999999998E-2</v>
      </c>
      <c r="H19" s="345"/>
      <c r="I19" s="345"/>
      <c r="J19" s="22" t="s">
        <v>530</v>
      </c>
    </row>
    <row r="20" spans="1:10">
      <c r="A20" s="21"/>
      <c r="B20" s="17"/>
      <c r="C20" s="17"/>
      <c r="D20" s="18"/>
      <c r="E20" s="17"/>
      <c r="F20" s="17"/>
      <c r="G20" s="17"/>
      <c r="H20" s="19"/>
      <c r="I20" s="19"/>
      <c r="J20" s="22"/>
    </row>
    <row r="21" spans="1:10">
      <c r="A21" s="79" t="s">
        <v>574</v>
      </c>
      <c r="B21" s="346" t="s">
        <v>224</v>
      </c>
      <c r="C21" s="70" t="s">
        <v>194</v>
      </c>
      <c r="D21" s="80">
        <v>-0.2</v>
      </c>
      <c r="E21" s="70">
        <v>38</v>
      </c>
      <c r="F21" s="70">
        <f t="shared" si="0"/>
        <v>3.7999999999999999E-2</v>
      </c>
      <c r="G21" s="70">
        <f>F21*D21</f>
        <v>-7.6E-3</v>
      </c>
      <c r="H21" s="346">
        <f>-(G22)+(G21)</f>
        <v>-3.458E-2</v>
      </c>
      <c r="I21" s="346"/>
      <c r="J21" s="22" t="s">
        <v>530</v>
      </c>
    </row>
    <row r="22" spans="1:10">
      <c r="A22" s="79" t="s">
        <v>574</v>
      </c>
      <c r="B22" s="346"/>
      <c r="C22" s="70" t="s">
        <v>225</v>
      </c>
      <c r="D22" s="80">
        <v>0.71</v>
      </c>
      <c r="E22" s="70">
        <v>38</v>
      </c>
      <c r="F22" s="70">
        <f t="shared" si="0"/>
        <v>3.7999999999999999E-2</v>
      </c>
      <c r="G22" s="70">
        <f t="shared" si="1"/>
        <v>2.6979999999999997E-2</v>
      </c>
      <c r="H22" s="346"/>
      <c r="I22" s="346"/>
      <c r="J22" s="22" t="s">
        <v>530</v>
      </c>
    </row>
    <row r="23" spans="1:10">
      <c r="A23" s="21"/>
      <c r="B23" s="17"/>
      <c r="C23" s="17"/>
      <c r="D23" s="18"/>
      <c r="E23" s="17"/>
      <c r="F23" s="17"/>
      <c r="G23" s="17"/>
      <c r="H23" s="19"/>
      <c r="I23" s="19"/>
      <c r="J23" s="22"/>
    </row>
    <row r="24" spans="1:10">
      <c r="A24" s="21" t="s">
        <v>573</v>
      </c>
      <c r="B24" s="345" t="s">
        <v>517</v>
      </c>
      <c r="C24" s="17" t="s">
        <v>640</v>
      </c>
      <c r="D24" s="18">
        <v>-5.41</v>
      </c>
      <c r="E24" s="17">
        <v>0.1</v>
      </c>
      <c r="F24" s="17">
        <f t="shared" si="0"/>
        <v>1E-4</v>
      </c>
      <c r="G24" s="17">
        <f t="shared" si="1"/>
        <v>-5.4100000000000003E-4</v>
      </c>
      <c r="H24" s="345">
        <f>-(G25)+(G24)</f>
        <v>-5.4500000000000002E-4</v>
      </c>
      <c r="I24" s="345"/>
      <c r="J24" s="22" t="s">
        <v>530</v>
      </c>
    </row>
    <row r="25" spans="1:10">
      <c r="A25" s="21" t="s">
        <v>573</v>
      </c>
      <c r="B25" s="345"/>
      <c r="C25" s="17" t="s">
        <v>225</v>
      </c>
      <c r="D25" s="18">
        <v>0.04</v>
      </c>
      <c r="E25" s="17">
        <v>0.1</v>
      </c>
      <c r="F25" s="17">
        <f t="shared" si="0"/>
        <v>1E-4</v>
      </c>
      <c r="G25" s="17">
        <f t="shared" si="1"/>
        <v>4.0000000000000007E-6</v>
      </c>
      <c r="H25" s="345"/>
      <c r="I25" s="345"/>
      <c r="J25" s="22" t="s">
        <v>530</v>
      </c>
    </row>
    <row r="26" spans="1:10">
      <c r="A26" s="21"/>
      <c r="B26" s="17"/>
      <c r="C26" s="17"/>
      <c r="D26" s="18"/>
      <c r="E26" s="17"/>
      <c r="F26" s="17"/>
      <c r="G26" s="17"/>
      <c r="H26" s="19"/>
      <c r="I26" s="19"/>
      <c r="J26" s="22"/>
    </row>
    <row r="27" spans="1:10">
      <c r="A27" s="79" t="s">
        <v>573</v>
      </c>
      <c r="B27" s="346" t="s">
        <v>224</v>
      </c>
      <c r="C27" s="70" t="s">
        <v>640</v>
      </c>
      <c r="D27" s="80">
        <v>-5.41</v>
      </c>
      <c r="E27" s="70">
        <v>4.2</v>
      </c>
      <c r="F27" s="70">
        <f t="shared" si="0"/>
        <v>4.2000000000000006E-3</v>
      </c>
      <c r="G27" s="70">
        <f t="shared" si="1"/>
        <v>-2.2722000000000003E-2</v>
      </c>
      <c r="H27" s="346">
        <f>-(G28)+(G27)</f>
        <v>-2.2890000000000004E-2</v>
      </c>
      <c r="I27" s="346"/>
      <c r="J27" s="22" t="s">
        <v>530</v>
      </c>
    </row>
    <row r="28" spans="1:10">
      <c r="A28" s="79" t="s">
        <v>573</v>
      </c>
      <c r="B28" s="346"/>
      <c r="C28" s="70" t="s">
        <v>225</v>
      </c>
      <c r="D28" s="80">
        <v>0.04</v>
      </c>
      <c r="E28" s="70">
        <v>4.2</v>
      </c>
      <c r="F28" s="70">
        <f>E28*B$5</f>
        <v>4.2000000000000006E-3</v>
      </c>
      <c r="G28" s="70">
        <f t="shared" si="1"/>
        <v>1.6800000000000002E-4</v>
      </c>
      <c r="H28" s="346"/>
      <c r="I28" s="346"/>
      <c r="J28" s="22" t="s">
        <v>530</v>
      </c>
    </row>
    <row r="29" spans="1:10">
      <c r="A29" s="21"/>
      <c r="B29" s="17"/>
      <c r="C29" s="17"/>
      <c r="D29" s="18"/>
      <c r="E29" s="17"/>
      <c r="F29" s="17"/>
      <c r="G29" s="17"/>
      <c r="H29" s="19"/>
      <c r="I29" s="19"/>
      <c r="J29" s="22"/>
    </row>
    <row r="30" spans="1:10">
      <c r="A30" s="21" t="s">
        <v>575</v>
      </c>
      <c r="B30" s="345" t="s">
        <v>517</v>
      </c>
      <c r="C30" s="17" t="s">
        <v>640</v>
      </c>
      <c r="D30" s="18">
        <v>-0.28000000000000003</v>
      </c>
      <c r="E30" s="17">
        <v>2.2999999999999998</v>
      </c>
      <c r="F30" s="17">
        <f t="shared" si="0"/>
        <v>2.3E-3</v>
      </c>
      <c r="G30" s="17">
        <f t="shared" si="1"/>
        <v>-6.4400000000000004E-4</v>
      </c>
      <c r="H30" s="345">
        <f>-(G31)+(G30)</f>
        <v>-7.36E-4</v>
      </c>
      <c r="I30" s="345"/>
      <c r="J30" s="22" t="s">
        <v>530</v>
      </c>
    </row>
    <row r="31" spans="1:10">
      <c r="A31" s="21" t="s">
        <v>575</v>
      </c>
      <c r="B31" s="345"/>
      <c r="C31" s="17" t="s">
        <v>225</v>
      </c>
      <c r="D31" s="18">
        <v>0.04</v>
      </c>
      <c r="E31" s="17">
        <v>2.2999999999999998</v>
      </c>
      <c r="F31" s="17">
        <f t="shared" si="0"/>
        <v>2.3E-3</v>
      </c>
      <c r="G31" s="17">
        <f t="shared" si="1"/>
        <v>9.2E-5</v>
      </c>
      <c r="H31" s="345"/>
      <c r="I31" s="345"/>
      <c r="J31" s="22" t="s">
        <v>530</v>
      </c>
    </row>
    <row r="32" spans="1:10">
      <c r="A32" s="21"/>
      <c r="B32" s="17"/>
      <c r="C32" s="17"/>
      <c r="D32" s="18"/>
      <c r="E32" s="17"/>
      <c r="F32" s="17"/>
      <c r="G32" s="17"/>
      <c r="H32" s="19"/>
      <c r="I32" s="19"/>
      <c r="J32" s="22"/>
    </row>
    <row r="33" spans="1:10">
      <c r="A33" s="79" t="s">
        <v>575</v>
      </c>
      <c r="B33" s="346" t="s">
        <v>224</v>
      </c>
      <c r="C33" s="70" t="s">
        <v>640</v>
      </c>
      <c r="D33" s="80">
        <v>-0.28000000000000003</v>
      </c>
      <c r="E33" s="70">
        <v>0.4</v>
      </c>
      <c r="F33" s="70">
        <f t="shared" si="0"/>
        <v>4.0000000000000002E-4</v>
      </c>
      <c r="G33" s="70">
        <f t="shared" si="1"/>
        <v>-1.1200000000000001E-4</v>
      </c>
      <c r="H33" s="346">
        <f>-(G34)+(G33)</f>
        <v>-1.2800000000000002E-4</v>
      </c>
      <c r="I33" s="346"/>
      <c r="J33" s="22" t="s">
        <v>530</v>
      </c>
    </row>
    <row r="34" spans="1:10">
      <c r="A34" s="79" t="s">
        <v>575</v>
      </c>
      <c r="B34" s="346"/>
      <c r="C34" s="70" t="s">
        <v>225</v>
      </c>
      <c r="D34" s="80">
        <v>0.04</v>
      </c>
      <c r="E34" s="70">
        <v>0.4</v>
      </c>
      <c r="F34" s="70">
        <f t="shared" si="0"/>
        <v>4.0000000000000002E-4</v>
      </c>
      <c r="G34" s="70">
        <f t="shared" si="1"/>
        <v>1.6000000000000003E-5</v>
      </c>
      <c r="H34" s="346"/>
      <c r="I34" s="346"/>
      <c r="J34" s="22" t="s">
        <v>530</v>
      </c>
    </row>
    <row r="35" spans="1:10">
      <c r="A35" s="21"/>
      <c r="B35" s="17"/>
      <c r="C35" s="17"/>
      <c r="D35" s="18"/>
      <c r="E35" s="17"/>
      <c r="F35" s="17"/>
      <c r="G35" s="17"/>
      <c r="H35" s="19"/>
      <c r="I35" s="19"/>
      <c r="J35" s="22"/>
    </row>
    <row r="36" spans="1:10">
      <c r="A36" s="21" t="s">
        <v>576</v>
      </c>
      <c r="B36" s="345" t="s">
        <v>517</v>
      </c>
      <c r="C36" s="17" t="s">
        <v>640</v>
      </c>
      <c r="D36" s="18">
        <v>-1.53</v>
      </c>
      <c r="E36" s="17">
        <v>2.4</v>
      </c>
      <c r="F36" s="17">
        <f t="shared" si="0"/>
        <v>2.3999999999999998E-3</v>
      </c>
      <c r="G36" s="17">
        <f t="shared" si="1"/>
        <v>-3.6719999999999999E-3</v>
      </c>
      <c r="H36" s="345">
        <f>-(G37)+(G36)</f>
        <v>-3.7680000000000001E-3</v>
      </c>
      <c r="I36" s="345"/>
      <c r="J36" s="22" t="s">
        <v>530</v>
      </c>
    </row>
    <row r="37" spans="1:10">
      <c r="A37" s="21" t="s">
        <v>576</v>
      </c>
      <c r="B37" s="345"/>
      <c r="C37" s="17" t="s">
        <v>225</v>
      </c>
      <c r="D37" s="18">
        <v>0.04</v>
      </c>
      <c r="E37" s="17">
        <v>2.4</v>
      </c>
      <c r="F37" s="17">
        <f t="shared" si="0"/>
        <v>2.3999999999999998E-3</v>
      </c>
      <c r="G37" s="17">
        <f t="shared" si="1"/>
        <v>9.5999999999999989E-5</v>
      </c>
      <c r="H37" s="345"/>
      <c r="I37" s="345"/>
      <c r="J37" s="22" t="s">
        <v>530</v>
      </c>
    </row>
    <row r="38" spans="1:10">
      <c r="A38" s="21"/>
      <c r="B38" s="17"/>
      <c r="C38" s="17"/>
      <c r="D38" s="18"/>
      <c r="E38" s="17"/>
      <c r="F38" s="17"/>
      <c r="G38" s="17"/>
      <c r="H38" s="19"/>
      <c r="I38" s="19"/>
      <c r="J38" s="22"/>
    </row>
    <row r="39" spans="1:10">
      <c r="A39" s="79" t="s">
        <v>576</v>
      </c>
      <c r="B39" s="346" t="s">
        <v>224</v>
      </c>
      <c r="C39" s="70" t="s">
        <v>640</v>
      </c>
      <c r="D39" s="80">
        <v>-1.53</v>
      </c>
      <c r="E39" s="70">
        <v>1.4</v>
      </c>
      <c r="F39" s="70">
        <f t="shared" si="0"/>
        <v>1.4E-3</v>
      </c>
      <c r="G39" s="70">
        <f t="shared" si="1"/>
        <v>-2.1419999999999998E-3</v>
      </c>
      <c r="H39" s="346">
        <f>-(G40)+(G39)</f>
        <v>-2.1979999999999999E-3</v>
      </c>
      <c r="I39" s="346"/>
      <c r="J39" s="22" t="s">
        <v>530</v>
      </c>
    </row>
    <row r="40" spans="1:10">
      <c r="A40" s="79" t="s">
        <v>576</v>
      </c>
      <c r="B40" s="346"/>
      <c r="C40" s="70" t="s">
        <v>178</v>
      </c>
      <c r="D40" s="80">
        <v>0.04</v>
      </c>
      <c r="E40" s="70">
        <v>1.4</v>
      </c>
      <c r="F40" s="70">
        <f t="shared" si="0"/>
        <v>1.4E-3</v>
      </c>
      <c r="G40" s="70">
        <f t="shared" si="1"/>
        <v>5.5999999999999999E-5</v>
      </c>
      <c r="H40" s="346"/>
      <c r="I40" s="346"/>
      <c r="J40" s="22" t="s">
        <v>530</v>
      </c>
    </row>
    <row r="41" spans="1:10">
      <c r="A41" s="21"/>
      <c r="B41" s="17"/>
      <c r="C41" s="17"/>
      <c r="D41" s="18"/>
      <c r="E41" s="17"/>
      <c r="F41" s="17"/>
      <c r="G41" s="17"/>
      <c r="H41" s="19"/>
      <c r="I41" s="19"/>
      <c r="J41" s="22"/>
    </row>
    <row r="42" spans="1:10">
      <c r="A42" s="21" t="s">
        <v>282</v>
      </c>
      <c r="B42" s="345" t="s">
        <v>517</v>
      </c>
      <c r="C42" s="17" t="s">
        <v>640</v>
      </c>
      <c r="D42" s="18">
        <v>-3.51</v>
      </c>
      <c r="E42" s="17">
        <v>0.1</v>
      </c>
      <c r="F42" s="17">
        <f t="shared" si="0"/>
        <v>1E-4</v>
      </c>
      <c r="G42" s="17">
        <f t="shared" si="1"/>
        <v>-3.5100000000000002E-4</v>
      </c>
      <c r="H42" s="345">
        <f>-(G43)+(G42)</f>
        <v>-3.8300000000000004E-4</v>
      </c>
      <c r="I42" s="345"/>
      <c r="J42" s="22" t="s">
        <v>530</v>
      </c>
    </row>
    <row r="43" spans="1:10">
      <c r="A43" s="21" t="s">
        <v>282</v>
      </c>
      <c r="B43" s="345"/>
      <c r="C43" s="17" t="s">
        <v>225</v>
      </c>
      <c r="D43" s="18">
        <v>0.32</v>
      </c>
      <c r="E43" s="17">
        <v>0.1</v>
      </c>
      <c r="F43" s="17">
        <f t="shared" si="0"/>
        <v>1E-4</v>
      </c>
      <c r="G43" s="17">
        <f t="shared" si="1"/>
        <v>3.2000000000000005E-5</v>
      </c>
      <c r="H43" s="345"/>
      <c r="I43" s="345"/>
      <c r="J43" s="22" t="s">
        <v>530</v>
      </c>
    </row>
    <row r="44" spans="1:10">
      <c r="A44" s="21"/>
      <c r="B44" s="17"/>
      <c r="C44" s="17"/>
      <c r="D44" s="18"/>
      <c r="E44" s="17"/>
      <c r="F44" s="17"/>
      <c r="G44" s="17"/>
      <c r="H44" s="19"/>
      <c r="I44" s="19"/>
      <c r="J44" s="22"/>
    </row>
    <row r="45" spans="1:10">
      <c r="A45" s="79" t="s">
        <v>282</v>
      </c>
      <c r="B45" s="346" t="s">
        <v>224</v>
      </c>
      <c r="C45" s="70" t="s">
        <v>640</v>
      </c>
      <c r="D45" s="80">
        <v>-3.51</v>
      </c>
      <c r="E45" s="70">
        <v>1.2</v>
      </c>
      <c r="F45" s="70">
        <f t="shared" si="0"/>
        <v>1.1999999999999999E-3</v>
      </c>
      <c r="G45" s="70">
        <f t="shared" si="1"/>
        <v>-4.2119999999999996E-3</v>
      </c>
      <c r="H45" s="346">
        <f>-(G46)+(G45)</f>
        <v>-4.5959999999999994E-3</v>
      </c>
      <c r="I45" s="346"/>
      <c r="J45" s="22" t="s">
        <v>530</v>
      </c>
    </row>
    <row r="46" spans="1:10">
      <c r="A46" s="79" t="s">
        <v>282</v>
      </c>
      <c r="B46" s="346"/>
      <c r="C46" s="70" t="s">
        <v>225</v>
      </c>
      <c r="D46" s="80">
        <v>0.32</v>
      </c>
      <c r="E46" s="70">
        <v>1.2</v>
      </c>
      <c r="F46" s="70">
        <f t="shared" si="0"/>
        <v>1.1999999999999999E-3</v>
      </c>
      <c r="G46" s="70">
        <f t="shared" si="1"/>
        <v>3.8399999999999996E-4</v>
      </c>
      <c r="H46" s="346"/>
      <c r="I46" s="346"/>
      <c r="J46" s="22" t="s">
        <v>530</v>
      </c>
    </row>
    <row r="47" spans="1:10">
      <c r="A47" s="21"/>
      <c r="B47" s="17"/>
      <c r="C47" s="17"/>
      <c r="D47" s="18"/>
      <c r="E47" s="17"/>
      <c r="F47" s="17"/>
      <c r="G47" s="17"/>
      <c r="H47" s="19"/>
      <c r="I47" s="19"/>
      <c r="J47" s="22"/>
    </row>
    <row r="48" spans="1:10">
      <c r="A48" s="21" t="s">
        <v>553</v>
      </c>
      <c r="B48" s="345" t="s">
        <v>517</v>
      </c>
      <c r="C48" s="17" t="s">
        <v>640</v>
      </c>
      <c r="D48" s="18">
        <v>-3.1</v>
      </c>
      <c r="E48" s="17">
        <v>11.2</v>
      </c>
      <c r="F48" s="17">
        <f t="shared" si="0"/>
        <v>1.12E-2</v>
      </c>
      <c r="G48" s="17">
        <f t="shared" si="1"/>
        <v>-3.4720000000000001E-2</v>
      </c>
      <c r="H48" s="345">
        <f>-(G49)+(G48)</f>
        <v>-3.8976000000000004E-2</v>
      </c>
      <c r="I48" s="345"/>
      <c r="J48" s="22" t="s">
        <v>530</v>
      </c>
    </row>
    <row r="49" spans="1:10">
      <c r="A49" s="21" t="s">
        <v>590</v>
      </c>
      <c r="B49" s="345"/>
      <c r="C49" s="17" t="s">
        <v>225</v>
      </c>
      <c r="D49" s="18">
        <v>0.38</v>
      </c>
      <c r="E49" s="17">
        <v>11.2</v>
      </c>
      <c r="F49" s="17">
        <f t="shared" si="0"/>
        <v>1.12E-2</v>
      </c>
      <c r="G49" s="17">
        <f t="shared" si="1"/>
        <v>4.2560000000000002E-3</v>
      </c>
      <c r="H49" s="345"/>
      <c r="I49" s="345"/>
      <c r="J49" s="22" t="s">
        <v>530</v>
      </c>
    </row>
    <row r="50" spans="1:10">
      <c r="A50" s="21"/>
      <c r="B50" s="17"/>
      <c r="C50" s="17"/>
      <c r="D50" s="18"/>
      <c r="E50" s="17"/>
      <c r="F50" s="17"/>
      <c r="G50" s="17"/>
      <c r="H50" s="19"/>
      <c r="I50" s="19"/>
      <c r="J50" s="22"/>
    </row>
    <row r="51" spans="1:10">
      <c r="A51" s="79" t="s">
        <v>553</v>
      </c>
      <c r="B51" s="346" t="s">
        <v>224</v>
      </c>
      <c r="C51" s="70" t="s">
        <v>640</v>
      </c>
      <c r="D51" s="80">
        <v>-3.1</v>
      </c>
      <c r="E51" s="70">
        <v>0</v>
      </c>
      <c r="F51" s="70">
        <f t="shared" si="0"/>
        <v>0</v>
      </c>
      <c r="G51" s="70">
        <f t="shared" si="1"/>
        <v>0</v>
      </c>
      <c r="H51" s="346">
        <f>-(G52)+(G51)</f>
        <v>0</v>
      </c>
      <c r="I51" s="346"/>
      <c r="J51" s="22" t="s">
        <v>530</v>
      </c>
    </row>
    <row r="52" spans="1:10">
      <c r="A52" s="79" t="s">
        <v>590</v>
      </c>
      <c r="B52" s="346"/>
      <c r="C52" s="70" t="s">
        <v>225</v>
      </c>
      <c r="D52" s="80">
        <v>0.38</v>
      </c>
      <c r="E52" s="70">
        <v>0</v>
      </c>
      <c r="F52" s="70">
        <f t="shared" si="0"/>
        <v>0</v>
      </c>
      <c r="G52" s="70">
        <f t="shared" si="1"/>
        <v>0</v>
      </c>
      <c r="H52" s="346"/>
      <c r="I52" s="346"/>
      <c r="J52" s="22" t="s">
        <v>530</v>
      </c>
    </row>
    <row r="53" spans="1:10">
      <c r="A53" s="21"/>
      <c r="B53" s="17"/>
      <c r="C53" s="17"/>
      <c r="D53" s="18"/>
      <c r="E53" s="17"/>
      <c r="F53" s="20"/>
      <c r="G53" s="20"/>
      <c r="H53" s="19"/>
      <c r="I53" s="19"/>
      <c r="J53" s="22"/>
    </row>
    <row r="54" spans="1:10">
      <c r="A54" s="79" t="s">
        <v>560</v>
      </c>
      <c r="B54" s="346" t="s">
        <v>522</v>
      </c>
      <c r="C54" s="70" t="s">
        <v>194</v>
      </c>
      <c r="D54" s="80">
        <v>-0.2</v>
      </c>
      <c r="E54" s="70">
        <v>28.3</v>
      </c>
      <c r="F54" s="70">
        <f t="shared" si="0"/>
        <v>2.8300000000000002E-2</v>
      </c>
      <c r="G54" s="70">
        <f t="shared" si="1"/>
        <v>-5.660000000000001E-3</v>
      </c>
      <c r="H54" s="346">
        <f>-(G55)+(G54)</f>
        <v>-8.7730000000000013E-3</v>
      </c>
      <c r="I54" s="346"/>
      <c r="J54" s="22" t="s">
        <v>530</v>
      </c>
    </row>
    <row r="55" spans="1:10" ht="14" thickBot="1">
      <c r="A55" s="81" t="s">
        <v>560</v>
      </c>
      <c r="B55" s="350"/>
      <c r="C55" s="72" t="s">
        <v>225</v>
      </c>
      <c r="D55" s="82">
        <v>0.11</v>
      </c>
      <c r="E55" s="72">
        <v>28.3</v>
      </c>
      <c r="F55" s="72">
        <f t="shared" si="0"/>
        <v>2.8300000000000002E-2</v>
      </c>
      <c r="G55" s="72">
        <f t="shared" si="1"/>
        <v>3.1130000000000003E-3</v>
      </c>
      <c r="H55" s="350"/>
      <c r="I55" s="350"/>
      <c r="J55" s="23" t="s">
        <v>530</v>
      </c>
    </row>
    <row r="58" spans="1:10">
      <c r="A58" s="14" t="s">
        <v>421</v>
      </c>
      <c r="B58" s="83">
        <f>SUM(E18+E21+E24+E27+E30+E33+E36+E39+E42+E45+E48+E51+E54)</f>
        <v>114.60000000000001</v>
      </c>
    </row>
    <row r="59" spans="1:10">
      <c r="A59" s="15" t="s">
        <v>626</v>
      </c>
      <c r="B59" s="84">
        <f>SUM(H18+H24+H30+H36+H42+H48)</f>
        <v>-6.7158000000000009E-2</v>
      </c>
    </row>
    <row r="60" spans="1:10" ht="14" thickBot="1">
      <c r="A60" s="16" t="s">
        <v>196</v>
      </c>
      <c r="B60" s="85">
        <f>SUM(H21+H27+H33+H39+H45+H51+H54)</f>
        <v>-7.3165000000000008E-2</v>
      </c>
    </row>
    <row r="61" spans="1:10" ht="14" thickBot="1">
      <c r="A61" s="351" t="s">
        <v>395</v>
      </c>
      <c r="B61" s="352"/>
      <c r="C61" s="352"/>
      <c r="D61" s="32">
        <f>B59*242</f>
        <v>-16.252236000000003</v>
      </c>
    </row>
    <row r="62" spans="1:10" ht="14" thickBot="1">
      <c r="A62" s="351" t="s">
        <v>555</v>
      </c>
      <c r="B62" s="352"/>
      <c r="C62" s="353"/>
      <c r="D62" s="86">
        <f>B60*242</f>
        <v>-17.705930000000002</v>
      </c>
      <c r="E62" s="33"/>
    </row>
    <row r="63" spans="1:10">
      <c r="D63" s="11">
        <f>SUM(D61:D62)</f>
        <v>-33.958166000000006</v>
      </c>
    </row>
    <row r="66" spans="1:10" ht="14" thickBot="1">
      <c r="A66" s="87" t="s">
        <v>396</v>
      </c>
    </row>
    <row r="67" spans="1:10" ht="16" thickBot="1">
      <c r="A67" s="28" t="s">
        <v>358</v>
      </c>
      <c r="B67" s="29" t="s">
        <v>359</v>
      </c>
      <c r="C67" s="29" t="s">
        <v>360</v>
      </c>
      <c r="D67" s="30" t="s">
        <v>361</v>
      </c>
      <c r="E67" s="78" t="s">
        <v>571</v>
      </c>
      <c r="F67" s="29" t="s">
        <v>572</v>
      </c>
      <c r="G67" s="29" t="s">
        <v>532</v>
      </c>
      <c r="H67" s="29" t="s">
        <v>642</v>
      </c>
      <c r="I67" s="29" t="s">
        <v>632</v>
      </c>
      <c r="J67" s="31" t="s">
        <v>556</v>
      </c>
    </row>
    <row r="68" spans="1:10">
      <c r="A68" s="24" t="s">
        <v>574</v>
      </c>
      <c r="B68" s="344" t="s">
        <v>518</v>
      </c>
      <c r="C68" s="25" t="s">
        <v>194</v>
      </c>
      <c r="D68" s="26">
        <v>-0.2</v>
      </c>
      <c r="E68" s="25">
        <v>200</v>
      </c>
      <c r="F68" s="25">
        <f>E68*B$5</f>
        <v>0.2</v>
      </c>
      <c r="G68" s="25">
        <f>F68*D68</f>
        <v>-4.0000000000000008E-2</v>
      </c>
      <c r="H68" s="344">
        <f>-(G69)+(G68)</f>
        <v>-0.182</v>
      </c>
      <c r="I68" s="344"/>
      <c r="J68" s="27" t="s">
        <v>530</v>
      </c>
    </row>
    <row r="69" spans="1:10">
      <c r="A69" s="21" t="s">
        <v>574</v>
      </c>
      <c r="B69" s="345"/>
      <c r="C69" s="17" t="s">
        <v>225</v>
      </c>
      <c r="D69" s="18">
        <v>0.71</v>
      </c>
      <c r="E69" s="17">
        <v>200</v>
      </c>
      <c r="F69" s="17">
        <f t="shared" ref="F69" si="2">E69*B$5</f>
        <v>0.2</v>
      </c>
      <c r="G69" s="17">
        <f t="shared" ref="G69" si="3">F69*D69</f>
        <v>0.14199999999999999</v>
      </c>
      <c r="H69" s="345"/>
      <c r="I69" s="345"/>
      <c r="J69" s="22" t="s">
        <v>530</v>
      </c>
    </row>
    <row r="70" spans="1:10">
      <c r="A70" s="21"/>
      <c r="B70" s="17"/>
      <c r="C70" s="17"/>
      <c r="D70" s="18"/>
      <c r="E70" s="17"/>
      <c r="F70" s="17"/>
      <c r="G70" s="17"/>
      <c r="H70" s="19"/>
      <c r="I70" s="19"/>
      <c r="J70" s="22"/>
    </row>
    <row r="71" spans="1:10">
      <c r="A71" s="79" t="s">
        <v>574</v>
      </c>
      <c r="B71" s="346" t="s">
        <v>224</v>
      </c>
      <c r="C71" s="70" t="s">
        <v>194</v>
      </c>
      <c r="D71" s="80">
        <v>-0.2</v>
      </c>
      <c r="E71" s="70">
        <v>147.6</v>
      </c>
      <c r="F71" s="70">
        <f t="shared" ref="F71:F72" si="4">E71*B$5</f>
        <v>0.14760000000000001</v>
      </c>
      <c r="G71" s="70">
        <f>F71*D71</f>
        <v>-2.9520000000000005E-2</v>
      </c>
      <c r="H71" s="346">
        <f>-(G72)+(G71)</f>
        <v>-0.13431599999999999</v>
      </c>
      <c r="I71" s="346"/>
      <c r="J71" s="22" t="s">
        <v>530</v>
      </c>
    </row>
    <row r="72" spans="1:10">
      <c r="A72" s="79" t="s">
        <v>574</v>
      </c>
      <c r="B72" s="346"/>
      <c r="C72" s="70" t="s">
        <v>225</v>
      </c>
      <c r="D72" s="80">
        <v>0.71</v>
      </c>
      <c r="E72" s="70">
        <v>147.6</v>
      </c>
      <c r="F72" s="70">
        <f t="shared" si="4"/>
        <v>0.14760000000000001</v>
      </c>
      <c r="G72" s="70">
        <f t="shared" ref="G72" si="5">F72*D72</f>
        <v>0.104796</v>
      </c>
      <c r="H72" s="346"/>
      <c r="I72" s="346"/>
      <c r="J72" s="22" t="s">
        <v>530</v>
      </c>
    </row>
    <row r="73" spans="1:10">
      <c r="A73" s="21"/>
      <c r="B73" s="17"/>
      <c r="C73" s="17"/>
      <c r="D73" s="18"/>
      <c r="E73" s="17"/>
      <c r="F73" s="17"/>
      <c r="G73" s="17"/>
      <c r="H73" s="19"/>
      <c r="I73" s="19"/>
      <c r="J73" s="22"/>
    </row>
    <row r="74" spans="1:10">
      <c r="A74" s="21" t="s">
        <v>573</v>
      </c>
      <c r="B74" s="345" t="s">
        <v>517</v>
      </c>
      <c r="C74" s="17" t="s">
        <v>640</v>
      </c>
      <c r="D74" s="18">
        <v>-5.41</v>
      </c>
      <c r="E74" s="17">
        <v>0.69</v>
      </c>
      <c r="F74" s="17">
        <f t="shared" ref="F74:F75" si="6">E74*B$5</f>
        <v>6.8999999999999997E-4</v>
      </c>
      <c r="G74" s="17">
        <f t="shared" ref="G74:G75" si="7">F74*D74</f>
        <v>-3.7328999999999999E-3</v>
      </c>
      <c r="H74" s="345">
        <f>-(G75)+(G74)</f>
        <v>-3.7605E-3</v>
      </c>
      <c r="I74" s="345"/>
      <c r="J74" s="22" t="s">
        <v>530</v>
      </c>
    </row>
    <row r="75" spans="1:10">
      <c r="A75" s="21" t="s">
        <v>573</v>
      </c>
      <c r="B75" s="345"/>
      <c r="C75" s="17" t="s">
        <v>225</v>
      </c>
      <c r="D75" s="18">
        <v>0.04</v>
      </c>
      <c r="E75" s="17">
        <v>0.69</v>
      </c>
      <c r="F75" s="17">
        <f t="shared" si="6"/>
        <v>6.8999999999999997E-4</v>
      </c>
      <c r="G75" s="17">
        <f t="shared" si="7"/>
        <v>2.76E-5</v>
      </c>
      <c r="H75" s="345"/>
      <c r="I75" s="345"/>
      <c r="J75" s="22" t="s">
        <v>530</v>
      </c>
    </row>
    <row r="76" spans="1:10">
      <c r="A76" s="21"/>
      <c r="B76" s="17"/>
      <c r="C76" s="17"/>
      <c r="D76" s="18"/>
      <c r="E76" s="17"/>
      <c r="F76" s="17"/>
      <c r="G76" s="17"/>
      <c r="H76" s="19"/>
      <c r="I76" s="19"/>
      <c r="J76" s="22"/>
    </row>
    <row r="77" spans="1:10">
      <c r="A77" s="79" t="s">
        <v>573</v>
      </c>
      <c r="B77" s="346" t="s">
        <v>224</v>
      </c>
      <c r="C77" s="70" t="s">
        <v>640</v>
      </c>
      <c r="D77" s="80">
        <v>-5.41</v>
      </c>
      <c r="E77" s="70">
        <v>0.3</v>
      </c>
      <c r="F77" s="70">
        <f t="shared" ref="F77" si="8">E77*B$5</f>
        <v>2.9999999999999997E-4</v>
      </c>
      <c r="G77" s="70">
        <f t="shared" ref="G77:G78" si="9">F77*D77</f>
        <v>-1.6229999999999999E-3</v>
      </c>
      <c r="H77" s="346">
        <f>-(G78)+(G77)</f>
        <v>-1.635E-3</v>
      </c>
      <c r="I77" s="346"/>
      <c r="J77" s="22" t="s">
        <v>530</v>
      </c>
    </row>
    <row r="78" spans="1:10">
      <c r="A78" s="79" t="s">
        <v>573</v>
      </c>
      <c r="B78" s="346"/>
      <c r="C78" s="70" t="s">
        <v>225</v>
      </c>
      <c r="D78" s="80">
        <v>0.04</v>
      </c>
      <c r="E78" s="70">
        <v>0.3</v>
      </c>
      <c r="F78" s="70">
        <f>E78*B$5</f>
        <v>2.9999999999999997E-4</v>
      </c>
      <c r="G78" s="70">
        <f t="shared" si="9"/>
        <v>1.1999999999999999E-5</v>
      </c>
      <c r="H78" s="346"/>
      <c r="I78" s="346"/>
      <c r="J78" s="22" t="s">
        <v>530</v>
      </c>
    </row>
    <row r="79" spans="1:10">
      <c r="A79" s="21"/>
      <c r="B79" s="17"/>
      <c r="C79" s="17"/>
      <c r="D79" s="18"/>
      <c r="E79" s="17"/>
      <c r="F79" s="17"/>
      <c r="G79" s="17"/>
      <c r="H79" s="19"/>
      <c r="I79" s="19"/>
      <c r="J79" s="22"/>
    </row>
    <row r="80" spans="1:10">
      <c r="A80" s="21" t="s">
        <v>575</v>
      </c>
      <c r="B80" s="345" t="s">
        <v>517</v>
      </c>
      <c r="C80" s="17" t="s">
        <v>640</v>
      </c>
      <c r="D80" s="18">
        <v>-0.28000000000000003</v>
      </c>
      <c r="E80" s="17">
        <v>2.6</v>
      </c>
      <c r="F80" s="17">
        <f t="shared" ref="F80:F81" si="10">E80*B$5</f>
        <v>2.6000000000000003E-3</v>
      </c>
      <c r="G80" s="17">
        <f t="shared" ref="G80:G81" si="11">F80*D80</f>
        <v>-7.2800000000000013E-4</v>
      </c>
      <c r="H80" s="345">
        <f>-(G81)+(G80)</f>
        <v>-8.3200000000000017E-4</v>
      </c>
      <c r="I80" s="345"/>
      <c r="J80" s="22" t="s">
        <v>530</v>
      </c>
    </row>
    <row r="81" spans="1:10">
      <c r="A81" s="21" t="s">
        <v>575</v>
      </c>
      <c r="B81" s="345"/>
      <c r="C81" s="17" t="s">
        <v>225</v>
      </c>
      <c r="D81" s="18">
        <v>0.04</v>
      </c>
      <c r="E81" s="17">
        <v>2.6</v>
      </c>
      <c r="F81" s="17">
        <f t="shared" si="10"/>
        <v>2.6000000000000003E-3</v>
      </c>
      <c r="G81" s="17">
        <f t="shared" si="11"/>
        <v>1.0400000000000002E-4</v>
      </c>
      <c r="H81" s="345"/>
      <c r="I81" s="345"/>
      <c r="J81" s="22" t="s">
        <v>530</v>
      </c>
    </row>
    <row r="82" spans="1:10">
      <c r="A82" s="21"/>
      <c r="B82" s="17"/>
      <c r="C82" s="17"/>
      <c r="D82" s="18"/>
      <c r="E82" s="17"/>
      <c r="F82" s="17"/>
      <c r="G82" s="17"/>
      <c r="H82" s="19"/>
      <c r="I82" s="19"/>
      <c r="J82" s="22"/>
    </row>
    <row r="83" spans="1:10">
      <c r="A83" s="79" t="s">
        <v>575</v>
      </c>
      <c r="B83" s="346" t="s">
        <v>224</v>
      </c>
      <c r="C83" s="70" t="s">
        <v>640</v>
      </c>
      <c r="D83" s="80">
        <v>-0.28000000000000003</v>
      </c>
      <c r="E83" s="70">
        <v>0.2</v>
      </c>
      <c r="F83" s="70">
        <f t="shared" ref="F83:F84" si="12">E83*B$5</f>
        <v>2.0000000000000001E-4</v>
      </c>
      <c r="G83" s="70">
        <f t="shared" ref="G83:G84" si="13">F83*D83</f>
        <v>-5.6000000000000006E-5</v>
      </c>
      <c r="H83" s="346">
        <f>-(G84)+(G83)</f>
        <v>-6.4000000000000011E-5</v>
      </c>
      <c r="I83" s="346"/>
      <c r="J83" s="22" t="s">
        <v>530</v>
      </c>
    </row>
    <row r="84" spans="1:10">
      <c r="A84" s="79" t="s">
        <v>575</v>
      </c>
      <c r="B84" s="346"/>
      <c r="C84" s="70" t="s">
        <v>225</v>
      </c>
      <c r="D84" s="80">
        <v>0.04</v>
      </c>
      <c r="E84" s="70">
        <v>0.2</v>
      </c>
      <c r="F84" s="70">
        <f t="shared" si="12"/>
        <v>2.0000000000000001E-4</v>
      </c>
      <c r="G84" s="70">
        <f t="shared" si="13"/>
        <v>8.0000000000000013E-6</v>
      </c>
      <c r="H84" s="346"/>
      <c r="I84" s="346"/>
      <c r="J84" s="22" t="s">
        <v>530</v>
      </c>
    </row>
    <row r="85" spans="1:10">
      <c r="A85" s="21"/>
      <c r="B85" s="17"/>
      <c r="C85" s="17"/>
      <c r="D85" s="18"/>
      <c r="E85" s="17"/>
      <c r="F85" s="17"/>
      <c r="G85" s="17"/>
      <c r="H85" s="19"/>
      <c r="I85" s="19"/>
      <c r="J85" s="22"/>
    </row>
    <row r="86" spans="1:10">
      <c r="A86" s="21" t="s">
        <v>576</v>
      </c>
      <c r="B86" s="345" t="s">
        <v>517</v>
      </c>
      <c r="C86" s="17" t="s">
        <v>640</v>
      </c>
      <c r="D86" s="18">
        <v>-1.53</v>
      </c>
      <c r="E86" s="17">
        <v>3.61</v>
      </c>
      <c r="F86" s="17">
        <f t="shared" ref="F86:F87" si="14">E86*B$5</f>
        <v>3.6099999999999999E-3</v>
      </c>
      <c r="G86" s="17">
        <f t="shared" ref="G86:G87" si="15">F86*D86</f>
        <v>-5.5233000000000001E-3</v>
      </c>
      <c r="H86" s="345">
        <f>-(G87)+(G86)</f>
        <v>-5.6677000000000003E-3</v>
      </c>
      <c r="I86" s="345"/>
      <c r="J86" s="22" t="s">
        <v>530</v>
      </c>
    </row>
    <row r="87" spans="1:10">
      <c r="A87" s="21" t="s">
        <v>576</v>
      </c>
      <c r="B87" s="345"/>
      <c r="C87" s="17" t="s">
        <v>225</v>
      </c>
      <c r="D87" s="18">
        <v>0.04</v>
      </c>
      <c r="E87" s="17">
        <v>3.61</v>
      </c>
      <c r="F87" s="17">
        <f t="shared" si="14"/>
        <v>3.6099999999999999E-3</v>
      </c>
      <c r="G87" s="17">
        <f t="shared" si="15"/>
        <v>1.4440000000000001E-4</v>
      </c>
      <c r="H87" s="345"/>
      <c r="I87" s="345"/>
      <c r="J87" s="22" t="s">
        <v>530</v>
      </c>
    </row>
    <row r="88" spans="1:10">
      <c r="A88" s="21"/>
      <c r="B88" s="17"/>
      <c r="C88" s="17"/>
      <c r="D88" s="18"/>
      <c r="E88" s="17"/>
      <c r="F88" s="17"/>
      <c r="G88" s="17"/>
      <c r="H88" s="19"/>
      <c r="I88" s="19"/>
      <c r="J88" s="22"/>
    </row>
    <row r="89" spans="1:10">
      <c r="A89" s="79" t="s">
        <v>576</v>
      </c>
      <c r="B89" s="346" t="s">
        <v>224</v>
      </c>
      <c r="C89" s="70" t="s">
        <v>640</v>
      </c>
      <c r="D89" s="80">
        <v>-1.53</v>
      </c>
      <c r="E89" s="70">
        <v>4.5999999999999996</v>
      </c>
      <c r="F89" s="70">
        <f t="shared" ref="F89:F90" si="16">E89*B$5</f>
        <v>4.5999999999999999E-3</v>
      </c>
      <c r="G89" s="70">
        <f t="shared" ref="G89:G90" si="17">F89*D89</f>
        <v>-7.038E-3</v>
      </c>
      <c r="H89" s="346">
        <f>-(G90)+(G89)</f>
        <v>-7.2220000000000001E-3</v>
      </c>
      <c r="I89" s="346"/>
      <c r="J89" s="22" t="s">
        <v>530</v>
      </c>
    </row>
    <row r="90" spans="1:10">
      <c r="A90" s="79" t="s">
        <v>576</v>
      </c>
      <c r="B90" s="346"/>
      <c r="C90" s="70" t="s">
        <v>225</v>
      </c>
      <c r="D90" s="80">
        <v>0.04</v>
      </c>
      <c r="E90" s="70">
        <v>4.5999999999999996</v>
      </c>
      <c r="F90" s="70">
        <f t="shared" si="16"/>
        <v>4.5999999999999999E-3</v>
      </c>
      <c r="G90" s="70">
        <f t="shared" si="17"/>
        <v>1.84E-4</v>
      </c>
      <c r="H90" s="346"/>
      <c r="I90" s="346"/>
      <c r="J90" s="22" t="s">
        <v>530</v>
      </c>
    </row>
    <row r="91" spans="1:10">
      <c r="A91" s="21"/>
      <c r="B91" s="17"/>
      <c r="C91" s="17"/>
      <c r="D91" s="18"/>
      <c r="E91" s="17"/>
      <c r="F91" s="17"/>
      <c r="G91" s="17"/>
      <c r="H91" s="19"/>
      <c r="I91" s="19"/>
      <c r="J91" s="22"/>
    </row>
    <row r="92" spans="1:10">
      <c r="A92" s="21" t="s">
        <v>282</v>
      </c>
      <c r="B92" s="345" t="s">
        <v>517</v>
      </c>
      <c r="C92" s="17" t="s">
        <v>640</v>
      </c>
      <c r="D92" s="18">
        <v>-3.51</v>
      </c>
      <c r="E92" s="17">
        <v>0.9</v>
      </c>
      <c r="F92" s="17">
        <f t="shared" ref="F92:F93" si="18">E92*B$5</f>
        <v>9.0000000000000008E-4</v>
      </c>
      <c r="G92" s="17">
        <f t="shared" ref="G92:G93" si="19">F92*D92</f>
        <v>-3.1589999999999999E-3</v>
      </c>
      <c r="H92" s="345">
        <f>-(G93)+(G92)</f>
        <v>-3.447E-3</v>
      </c>
      <c r="I92" s="345"/>
      <c r="J92" s="22" t="s">
        <v>530</v>
      </c>
    </row>
    <row r="93" spans="1:10">
      <c r="A93" s="21" t="s">
        <v>282</v>
      </c>
      <c r="B93" s="345"/>
      <c r="C93" s="17" t="s">
        <v>225</v>
      </c>
      <c r="D93" s="18">
        <v>0.32</v>
      </c>
      <c r="E93" s="17">
        <v>0.9</v>
      </c>
      <c r="F93" s="17">
        <f t="shared" si="18"/>
        <v>9.0000000000000008E-4</v>
      </c>
      <c r="G93" s="17">
        <f t="shared" si="19"/>
        <v>2.8800000000000001E-4</v>
      </c>
      <c r="H93" s="345"/>
      <c r="I93" s="345"/>
      <c r="J93" s="22" t="s">
        <v>530</v>
      </c>
    </row>
    <row r="94" spans="1:10">
      <c r="A94" s="21"/>
      <c r="B94" s="17"/>
      <c r="C94" s="17"/>
      <c r="D94" s="18"/>
      <c r="E94" s="17"/>
      <c r="F94" s="17"/>
      <c r="G94" s="17"/>
      <c r="H94" s="19"/>
      <c r="I94" s="19"/>
      <c r="J94" s="22"/>
    </row>
    <row r="95" spans="1:10">
      <c r="A95" s="79" t="s">
        <v>282</v>
      </c>
      <c r="B95" s="346" t="s">
        <v>224</v>
      </c>
      <c r="C95" s="70" t="s">
        <v>640</v>
      </c>
      <c r="D95" s="80">
        <v>-3.51</v>
      </c>
      <c r="E95" s="70">
        <v>4.2</v>
      </c>
      <c r="F95" s="70">
        <f t="shared" ref="F95:F96" si="20">E95*B$5</f>
        <v>4.2000000000000006E-3</v>
      </c>
      <c r="G95" s="70">
        <f t="shared" ref="G95:G96" si="21">F95*D95</f>
        <v>-1.4742000000000002E-2</v>
      </c>
      <c r="H95" s="346">
        <f>-(G96)+(G95)</f>
        <v>-1.6086000000000003E-2</v>
      </c>
      <c r="I95" s="346"/>
      <c r="J95" s="22" t="s">
        <v>530</v>
      </c>
    </row>
    <row r="96" spans="1:10">
      <c r="A96" s="79" t="s">
        <v>282</v>
      </c>
      <c r="B96" s="346"/>
      <c r="C96" s="70" t="s">
        <v>225</v>
      </c>
      <c r="D96" s="80">
        <v>0.32</v>
      </c>
      <c r="E96" s="70">
        <v>4.2</v>
      </c>
      <c r="F96" s="70">
        <f t="shared" si="20"/>
        <v>4.2000000000000006E-3</v>
      </c>
      <c r="G96" s="70">
        <f t="shared" si="21"/>
        <v>1.3440000000000001E-3</v>
      </c>
      <c r="H96" s="346"/>
      <c r="I96" s="346"/>
      <c r="J96" s="22" t="s">
        <v>530</v>
      </c>
    </row>
    <row r="97" spans="1:10">
      <c r="A97" s="21"/>
      <c r="B97" s="17"/>
      <c r="C97" s="17"/>
      <c r="D97" s="18"/>
      <c r="E97" s="17"/>
      <c r="F97" s="17"/>
      <c r="G97" s="17"/>
      <c r="H97" s="19"/>
      <c r="I97" s="19"/>
      <c r="J97" s="22"/>
    </row>
    <row r="98" spans="1:10">
      <c r="A98" s="21" t="s">
        <v>553</v>
      </c>
      <c r="B98" s="345" t="s">
        <v>517</v>
      </c>
      <c r="C98" s="17" t="s">
        <v>640</v>
      </c>
      <c r="D98" s="18">
        <v>-3.1</v>
      </c>
      <c r="E98" s="17">
        <v>56</v>
      </c>
      <c r="F98" s="17">
        <f t="shared" ref="F98:F99" si="22">E98*B$5</f>
        <v>5.6000000000000001E-2</v>
      </c>
      <c r="G98" s="17">
        <f t="shared" ref="G98:G99" si="23">F98*D98</f>
        <v>-0.1736</v>
      </c>
      <c r="H98" s="345">
        <f>-(G99)+(G98)</f>
        <v>-0.19488</v>
      </c>
      <c r="I98" s="345"/>
      <c r="J98" s="22" t="s">
        <v>530</v>
      </c>
    </row>
    <row r="99" spans="1:10">
      <c r="A99" s="21" t="s">
        <v>590</v>
      </c>
      <c r="B99" s="345"/>
      <c r="C99" s="17" t="s">
        <v>225</v>
      </c>
      <c r="D99" s="18">
        <v>0.38</v>
      </c>
      <c r="E99" s="17">
        <v>56</v>
      </c>
      <c r="F99" s="17">
        <f t="shared" si="22"/>
        <v>5.6000000000000001E-2</v>
      </c>
      <c r="G99" s="17">
        <f t="shared" si="23"/>
        <v>2.128E-2</v>
      </c>
      <c r="H99" s="345"/>
      <c r="I99" s="345"/>
      <c r="J99" s="22" t="s">
        <v>530</v>
      </c>
    </row>
    <row r="100" spans="1:10">
      <c r="A100" s="21"/>
      <c r="B100" s="17"/>
      <c r="C100" s="17"/>
      <c r="D100" s="18"/>
      <c r="E100" s="17"/>
      <c r="F100" s="17"/>
      <c r="G100" s="17"/>
      <c r="H100" s="19"/>
      <c r="I100" s="19"/>
      <c r="J100" s="22"/>
    </row>
    <row r="101" spans="1:10">
      <c r="A101" s="79" t="s">
        <v>553</v>
      </c>
      <c r="B101" s="346" t="s">
        <v>224</v>
      </c>
      <c r="C101" s="70" t="s">
        <v>640</v>
      </c>
      <c r="D101" s="80">
        <v>-3.1</v>
      </c>
      <c r="E101" s="70">
        <v>0</v>
      </c>
      <c r="F101" s="70">
        <f t="shared" ref="F101:F102" si="24">E101*B$5</f>
        <v>0</v>
      </c>
      <c r="G101" s="70">
        <f t="shared" ref="G101:G102" si="25">F101*D101</f>
        <v>0</v>
      </c>
      <c r="H101" s="346">
        <f>-(G102)+(G101)</f>
        <v>0</v>
      </c>
      <c r="I101" s="346"/>
      <c r="J101" s="22" t="s">
        <v>530</v>
      </c>
    </row>
    <row r="102" spans="1:10">
      <c r="A102" s="79" t="s">
        <v>590</v>
      </c>
      <c r="B102" s="346"/>
      <c r="C102" s="70" t="s">
        <v>225</v>
      </c>
      <c r="D102" s="80">
        <v>0.38</v>
      </c>
      <c r="E102" s="70">
        <v>0</v>
      </c>
      <c r="F102" s="70">
        <f t="shared" si="24"/>
        <v>0</v>
      </c>
      <c r="G102" s="70">
        <f t="shared" si="25"/>
        <v>0</v>
      </c>
      <c r="H102" s="346"/>
      <c r="I102" s="346"/>
      <c r="J102" s="22" t="s">
        <v>530</v>
      </c>
    </row>
    <row r="103" spans="1:10">
      <c r="A103" s="21"/>
      <c r="B103" s="17"/>
      <c r="C103" s="17"/>
      <c r="D103" s="18"/>
      <c r="E103" s="17"/>
      <c r="F103" s="20"/>
      <c r="G103" s="20"/>
      <c r="H103" s="19"/>
      <c r="I103" s="19"/>
      <c r="J103" s="22"/>
    </row>
    <row r="104" spans="1:10">
      <c r="A104" s="79" t="s">
        <v>560</v>
      </c>
      <c r="B104" s="346" t="s">
        <v>522</v>
      </c>
      <c r="C104" s="70" t="s">
        <v>194</v>
      </c>
      <c r="D104" s="80">
        <v>-0.2</v>
      </c>
      <c r="E104" s="70">
        <v>19.899999999999999</v>
      </c>
      <c r="F104" s="70">
        <f t="shared" ref="F104:F105" si="26">E104*B$5</f>
        <v>1.9899999999999998E-2</v>
      </c>
      <c r="G104" s="70">
        <f t="shared" ref="G104:G105" si="27">F104*D104</f>
        <v>-3.98E-3</v>
      </c>
      <c r="H104" s="346">
        <f>-(G105)+(G104)</f>
        <v>-6.1689999999999991E-3</v>
      </c>
      <c r="I104" s="346"/>
      <c r="J104" s="22" t="s">
        <v>530</v>
      </c>
    </row>
    <row r="105" spans="1:10" ht="14" thickBot="1">
      <c r="A105" s="81" t="s">
        <v>560</v>
      </c>
      <c r="B105" s="350"/>
      <c r="C105" s="72" t="s">
        <v>225</v>
      </c>
      <c r="D105" s="82">
        <v>0.11</v>
      </c>
      <c r="E105" s="72">
        <v>19.899999999999999</v>
      </c>
      <c r="F105" s="72">
        <f t="shared" si="26"/>
        <v>1.9899999999999998E-2</v>
      </c>
      <c r="G105" s="72">
        <f t="shared" si="27"/>
        <v>2.1889999999999995E-3</v>
      </c>
      <c r="H105" s="350"/>
      <c r="I105" s="350"/>
      <c r="J105" s="23" t="s">
        <v>530</v>
      </c>
    </row>
    <row r="108" spans="1:10">
      <c r="A108" s="14" t="s">
        <v>399</v>
      </c>
      <c r="B108" s="83">
        <f>SUM(E68+E71+E74+E77+E80+E83+E86+E89+E92+E95+E98+E101+E104)</f>
        <v>440.6</v>
      </c>
    </row>
    <row r="109" spans="1:10">
      <c r="A109" s="15" t="s">
        <v>626</v>
      </c>
      <c r="B109" s="84">
        <f>SUM(H68+H74+H80+H86+H92+H98)</f>
        <v>-0.39058720000000002</v>
      </c>
    </row>
    <row r="110" spans="1:10" ht="14" thickBot="1">
      <c r="A110" s="16" t="s">
        <v>627</v>
      </c>
      <c r="B110" s="85">
        <f>SUM(H71+H77+H83+H89+H95+H101+H104)</f>
        <v>-0.165492</v>
      </c>
    </row>
    <row r="111" spans="1:10" ht="14" thickBot="1">
      <c r="A111" s="354" t="s">
        <v>554</v>
      </c>
      <c r="B111" s="354"/>
      <c r="C111" s="354"/>
      <c r="D111" s="32">
        <f>B109*242</f>
        <v>-94.522102400000009</v>
      </c>
    </row>
    <row r="112" spans="1:10" ht="14" thickBot="1">
      <c r="A112" s="355" t="s">
        <v>491</v>
      </c>
      <c r="B112" s="355"/>
      <c r="C112" s="356"/>
      <c r="D112" s="86">
        <f>B110*242</f>
        <v>-40.049064000000001</v>
      </c>
    </row>
    <row r="113" spans="1:10">
      <c r="D113" s="11">
        <f>SUM(D111:D112)</f>
        <v>-134.57116640000001</v>
      </c>
    </row>
    <row r="116" spans="1:10" ht="14" thickBot="1">
      <c r="A116" s="87" t="s">
        <v>397</v>
      </c>
    </row>
    <row r="117" spans="1:10" ht="16" thickBot="1">
      <c r="A117" s="28" t="s">
        <v>358</v>
      </c>
      <c r="B117" s="29" t="s">
        <v>359</v>
      </c>
      <c r="C117" s="29" t="s">
        <v>360</v>
      </c>
      <c r="D117" s="30" t="s">
        <v>361</v>
      </c>
      <c r="E117" s="78" t="s">
        <v>571</v>
      </c>
      <c r="F117" s="29" t="s">
        <v>572</v>
      </c>
      <c r="G117" s="29" t="s">
        <v>532</v>
      </c>
      <c r="H117" s="29" t="s">
        <v>642</v>
      </c>
      <c r="I117" s="29" t="s">
        <v>632</v>
      </c>
      <c r="J117" s="31" t="s">
        <v>556</v>
      </c>
    </row>
    <row r="118" spans="1:10">
      <c r="A118" s="24" t="s">
        <v>574</v>
      </c>
      <c r="B118" s="344" t="s">
        <v>518</v>
      </c>
      <c r="C118" s="25" t="s">
        <v>194</v>
      </c>
      <c r="D118" s="26">
        <v>-0.2</v>
      </c>
      <c r="E118" s="25">
        <v>118.8</v>
      </c>
      <c r="F118" s="25">
        <f>E118*B$5</f>
        <v>0.1188</v>
      </c>
      <c r="G118" s="25">
        <f>F118*D118</f>
        <v>-2.3760000000000003E-2</v>
      </c>
      <c r="H118" s="344">
        <f>-(G119)+(G118)</f>
        <v>-0.108108</v>
      </c>
      <c r="I118" s="344"/>
      <c r="J118" s="27" t="s">
        <v>530</v>
      </c>
    </row>
    <row r="119" spans="1:10">
      <c r="A119" s="21" t="s">
        <v>574</v>
      </c>
      <c r="B119" s="345"/>
      <c r="C119" s="17" t="s">
        <v>225</v>
      </c>
      <c r="D119" s="18">
        <v>0.71</v>
      </c>
      <c r="E119" s="17">
        <v>118.8</v>
      </c>
      <c r="F119" s="17">
        <f t="shared" ref="F119" si="28">E119*B$5</f>
        <v>0.1188</v>
      </c>
      <c r="G119" s="17">
        <f t="shared" ref="G119" si="29">F119*D119</f>
        <v>8.4347999999999992E-2</v>
      </c>
      <c r="H119" s="345"/>
      <c r="I119" s="345"/>
      <c r="J119" s="22" t="s">
        <v>530</v>
      </c>
    </row>
    <row r="120" spans="1:10">
      <c r="A120" s="21"/>
      <c r="B120" s="17"/>
      <c r="C120" s="17"/>
      <c r="D120" s="18"/>
      <c r="E120" s="17"/>
      <c r="F120" s="17"/>
      <c r="G120" s="17"/>
      <c r="H120" s="19"/>
      <c r="I120" s="19"/>
      <c r="J120" s="22"/>
    </row>
    <row r="121" spans="1:10">
      <c r="A121" s="79" t="s">
        <v>574</v>
      </c>
      <c r="B121" s="346" t="s">
        <v>224</v>
      </c>
      <c r="C121" s="70" t="s">
        <v>194</v>
      </c>
      <c r="D121" s="80">
        <v>-0.2</v>
      </c>
      <c r="E121" s="70">
        <v>204.6</v>
      </c>
      <c r="F121" s="70">
        <f t="shared" ref="F121:F122" si="30">E121*B$5</f>
        <v>0.2046</v>
      </c>
      <c r="G121" s="70">
        <f>F121*D121</f>
        <v>-4.0920000000000005E-2</v>
      </c>
      <c r="H121" s="346">
        <f>-(G122)+(G121)</f>
        <v>-0.18618600000000002</v>
      </c>
      <c r="I121" s="346"/>
      <c r="J121" s="22" t="s">
        <v>530</v>
      </c>
    </row>
    <row r="122" spans="1:10">
      <c r="A122" s="79" t="s">
        <v>574</v>
      </c>
      <c r="B122" s="346"/>
      <c r="C122" s="70" t="s">
        <v>225</v>
      </c>
      <c r="D122" s="80">
        <v>0.71</v>
      </c>
      <c r="E122" s="70">
        <v>204.6</v>
      </c>
      <c r="F122" s="70">
        <f t="shared" si="30"/>
        <v>0.2046</v>
      </c>
      <c r="G122" s="70">
        <f t="shared" ref="G122" si="31">F122*D122</f>
        <v>0.14526600000000001</v>
      </c>
      <c r="H122" s="346"/>
      <c r="I122" s="346"/>
      <c r="J122" s="22" t="s">
        <v>530</v>
      </c>
    </row>
    <row r="123" spans="1:10">
      <c r="A123" s="21"/>
      <c r="B123" s="17"/>
      <c r="C123" s="17"/>
      <c r="D123" s="18"/>
      <c r="E123" s="17"/>
      <c r="F123" s="17"/>
      <c r="G123" s="17"/>
      <c r="H123" s="19"/>
      <c r="I123" s="19"/>
      <c r="J123" s="22"/>
    </row>
    <row r="124" spans="1:10">
      <c r="A124" s="21" t="s">
        <v>573</v>
      </c>
      <c r="B124" s="345" t="s">
        <v>517</v>
      </c>
      <c r="C124" s="17" t="s">
        <v>640</v>
      </c>
      <c r="D124" s="18">
        <v>-5.41</v>
      </c>
      <c r="E124" s="17">
        <v>0</v>
      </c>
      <c r="F124" s="17">
        <f t="shared" ref="F124:F125" si="32">E124*B$5</f>
        <v>0</v>
      </c>
      <c r="G124" s="17">
        <f t="shared" ref="G124:G125" si="33">F124*D124</f>
        <v>0</v>
      </c>
      <c r="H124" s="345">
        <f>-(G125)+(G124)</f>
        <v>0</v>
      </c>
      <c r="I124" s="345"/>
      <c r="J124" s="22" t="s">
        <v>530</v>
      </c>
    </row>
    <row r="125" spans="1:10">
      <c r="A125" s="21" t="s">
        <v>573</v>
      </c>
      <c r="B125" s="345"/>
      <c r="C125" s="17" t="s">
        <v>225</v>
      </c>
      <c r="D125" s="18">
        <v>0.04</v>
      </c>
      <c r="E125" s="17">
        <v>0</v>
      </c>
      <c r="F125" s="17">
        <f t="shared" si="32"/>
        <v>0</v>
      </c>
      <c r="G125" s="17">
        <f t="shared" si="33"/>
        <v>0</v>
      </c>
      <c r="H125" s="345"/>
      <c r="I125" s="345"/>
      <c r="J125" s="22" t="s">
        <v>530</v>
      </c>
    </row>
    <row r="126" spans="1:10">
      <c r="A126" s="21"/>
      <c r="B126" s="17"/>
      <c r="C126" s="17"/>
      <c r="D126" s="18"/>
      <c r="E126" s="17"/>
      <c r="F126" s="17"/>
      <c r="G126" s="17"/>
      <c r="H126" s="19"/>
      <c r="I126" s="19"/>
      <c r="J126" s="22"/>
    </row>
    <row r="127" spans="1:10">
      <c r="A127" s="79" t="s">
        <v>573</v>
      </c>
      <c r="B127" s="346" t="s">
        <v>224</v>
      </c>
      <c r="C127" s="70" t="s">
        <v>640</v>
      </c>
      <c r="D127" s="80">
        <v>-5.41</v>
      </c>
      <c r="E127" s="70">
        <v>4.4000000000000004</v>
      </c>
      <c r="F127" s="70">
        <f t="shared" ref="F127" si="34">E127*B$5</f>
        <v>4.4000000000000003E-3</v>
      </c>
      <c r="G127" s="70">
        <f t="shared" ref="G127:G128" si="35">F127*D127</f>
        <v>-2.3804000000000002E-2</v>
      </c>
      <c r="H127" s="346">
        <f>-(G128)+(G127)</f>
        <v>-2.3980000000000001E-2</v>
      </c>
      <c r="I127" s="346"/>
      <c r="J127" s="22" t="s">
        <v>530</v>
      </c>
    </row>
    <row r="128" spans="1:10">
      <c r="A128" s="79" t="s">
        <v>573</v>
      </c>
      <c r="B128" s="346"/>
      <c r="C128" s="70" t="s">
        <v>225</v>
      </c>
      <c r="D128" s="80">
        <v>0.04</v>
      </c>
      <c r="E128" s="70">
        <v>4.4000000000000004</v>
      </c>
      <c r="F128" s="70">
        <f>E128*B$5</f>
        <v>4.4000000000000003E-3</v>
      </c>
      <c r="G128" s="70">
        <f t="shared" si="35"/>
        <v>1.7600000000000002E-4</v>
      </c>
      <c r="H128" s="346"/>
      <c r="I128" s="346"/>
      <c r="J128" s="22" t="s">
        <v>530</v>
      </c>
    </row>
    <row r="129" spans="1:10">
      <c r="A129" s="21"/>
      <c r="B129" s="17"/>
      <c r="C129" s="17"/>
      <c r="D129" s="18"/>
      <c r="E129" s="17"/>
      <c r="F129" s="17"/>
      <c r="G129" s="17"/>
      <c r="H129" s="19"/>
      <c r="I129" s="19"/>
      <c r="J129" s="22"/>
    </row>
    <row r="130" spans="1:10">
      <c r="A130" s="21" t="s">
        <v>575</v>
      </c>
      <c r="B130" s="345" t="s">
        <v>517</v>
      </c>
      <c r="C130" s="17" t="s">
        <v>640</v>
      </c>
      <c r="D130" s="18">
        <v>-0.28000000000000003</v>
      </c>
      <c r="E130" s="17">
        <v>3</v>
      </c>
      <c r="F130" s="17">
        <f t="shared" ref="F130:F131" si="36">E130*B$5</f>
        <v>3.0000000000000001E-3</v>
      </c>
      <c r="G130" s="17">
        <f t="shared" ref="G130:G131" si="37">F130*D130</f>
        <v>-8.4000000000000014E-4</v>
      </c>
      <c r="H130" s="345">
        <f>-(G131)+(G130)</f>
        <v>-9.6000000000000013E-4</v>
      </c>
      <c r="I130" s="345"/>
      <c r="J130" s="22" t="s">
        <v>530</v>
      </c>
    </row>
    <row r="131" spans="1:10">
      <c r="A131" s="21" t="s">
        <v>575</v>
      </c>
      <c r="B131" s="345"/>
      <c r="C131" s="17" t="s">
        <v>225</v>
      </c>
      <c r="D131" s="18">
        <v>0.04</v>
      </c>
      <c r="E131" s="17">
        <v>3</v>
      </c>
      <c r="F131" s="17">
        <f t="shared" si="36"/>
        <v>3.0000000000000001E-3</v>
      </c>
      <c r="G131" s="17">
        <f t="shared" si="37"/>
        <v>1.2E-4</v>
      </c>
      <c r="H131" s="345"/>
      <c r="I131" s="345"/>
      <c r="J131" s="22" t="s">
        <v>530</v>
      </c>
    </row>
    <row r="132" spans="1:10">
      <c r="A132" s="21"/>
      <c r="B132" s="17"/>
      <c r="C132" s="17"/>
      <c r="D132" s="18"/>
      <c r="E132" s="17"/>
      <c r="F132" s="17"/>
      <c r="G132" s="17"/>
      <c r="H132" s="19"/>
      <c r="I132" s="19"/>
      <c r="J132" s="22"/>
    </row>
    <row r="133" spans="1:10">
      <c r="A133" s="79" t="s">
        <v>575</v>
      </c>
      <c r="B133" s="346" t="s">
        <v>224</v>
      </c>
      <c r="C133" s="70" t="s">
        <v>640</v>
      </c>
      <c r="D133" s="80">
        <v>-0.28000000000000003</v>
      </c>
      <c r="E133" s="70">
        <v>1.1000000000000001</v>
      </c>
      <c r="F133" s="70">
        <f t="shared" ref="F133:F134" si="38">E133*B$5</f>
        <v>1.1000000000000001E-3</v>
      </c>
      <c r="G133" s="70">
        <f t="shared" ref="G133:G134" si="39">F133*D133</f>
        <v>-3.0800000000000006E-4</v>
      </c>
      <c r="H133" s="346">
        <f>-(G134)+(G133)</f>
        <v>-3.5200000000000005E-4</v>
      </c>
      <c r="I133" s="346"/>
      <c r="J133" s="22" t="s">
        <v>530</v>
      </c>
    </row>
    <row r="134" spans="1:10">
      <c r="A134" s="79" t="s">
        <v>575</v>
      </c>
      <c r="B134" s="346"/>
      <c r="C134" s="70" t="s">
        <v>225</v>
      </c>
      <c r="D134" s="80">
        <v>0.04</v>
      </c>
      <c r="E134" s="70">
        <v>1.1000000000000001</v>
      </c>
      <c r="F134" s="70">
        <f t="shared" si="38"/>
        <v>1.1000000000000001E-3</v>
      </c>
      <c r="G134" s="70">
        <f t="shared" si="39"/>
        <v>4.4000000000000006E-5</v>
      </c>
      <c r="H134" s="346"/>
      <c r="I134" s="346"/>
      <c r="J134" s="22" t="s">
        <v>530</v>
      </c>
    </row>
    <row r="135" spans="1:10">
      <c r="A135" s="21"/>
      <c r="B135" s="17"/>
      <c r="C135" s="17"/>
      <c r="D135" s="18"/>
      <c r="E135" s="17"/>
      <c r="F135" s="17"/>
      <c r="G135" s="17"/>
      <c r="H135" s="19"/>
      <c r="I135" s="19"/>
      <c r="J135" s="22"/>
    </row>
    <row r="136" spans="1:10">
      <c r="A136" s="21" t="s">
        <v>576</v>
      </c>
      <c r="B136" s="345" t="s">
        <v>517</v>
      </c>
      <c r="C136" s="17" t="s">
        <v>640</v>
      </c>
      <c r="D136" s="18">
        <v>-1.53</v>
      </c>
      <c r="E136" s="17">
        <v>3.4</v>
      </c>
      <c r="F136" s="17">
        <f t="shared" ref="F136:F137" si="40">E136*B$5</f>
        <v>3.3999999999999998E-3</v>
      </c>
      <c r="G136" s="17">
        <f t="shared" ref="G136:G137" si="41">F136*D136</f>
        <v>-5.202E-3</v>
      </c>
      <c r="H136" s="345">
        <f>-(G137)+(G136)</f>
        <v>-5.3379999999999999E-3</v>
      </c>
      <c r="I136" s="345"/>
      <c r="J136" s="22" t="s">
        <v>530</v>
      </c>
    </row>
    <row r="137" spans="1:10">
      <c r="A137" s="21" t="s">
        <v>576</v>
      </c>
      <c r="B137" s="345"/>
      <c r="C137" s="17" t="s">
        <v>225</v>
      </c>
      <c r="D137" s="18">
        <v>0.04</v>
      </c>
      <c r="E137" s="17">
        <v>3.4</v>
      </c>
      <c r="F137" s="17">
        <f t="shared" si="40"/>
        <v>3.3999999999999998E-3</v>
      </c>
      <c r="G137" s="17">
        <f t="shared" si="41"/>
        <v>1.36E-4</v>
      </c>
      <c r="H137" s="345"/>
      <c r="I137" s="345"/>
      <c r="J137" s="22" t="s">
        <v>530</v>
      </c>
    </row>
    <row r="138" spans="1:10">
      <c r="A138" s="21"/>
      <c r="B138" s="17"/>
      <c r="C138" s="17"/>
      <c r="D138" s="18"/>
      <c r="E138" s="17"/>
      <c r="F138" s="17"/>
      <c r="G138" s="17"/>
      <c r="H138" s="19"/>
      <c r="I138" s="19"/>
      <c r="J138" s="22"/>
    </row>
    <row r="139" spans="1:10">
      <c r="A139" s="79" t="s">
        <v>576</v>
      </c>
      <c r="B139" s="346" t="s">
        <v>224</v>
      </c>
      <c r="C139" s="70" t="s">
        <v>640</v>
      </c>
      <c r="D139" s="80">
        <v>-1.53</v>
      </c>
      <c r="E139" s="70">
        <v>4.3</v>
      </c>
      <c r="F139" s="70">
        <f t="shared" ref="F139:F140" si="42">E139*B$5</f>
        <v>4.3E-3</v>
      </c>
      <c r="G139" s="70">
        <f t="shared" ref="G139:G140" si="43">F139*D139</f>
        <v>-6.5789999999999998E-3</v>
      </c>
      <c r="H139" s="346">
        <f>-(G140)+(G139)</f>
        <v>-6.7510000000000001E-3</v>
      </c>
      <c r="I139" s="346"/>
      <c r="J139" s="22" t="s">
        <v>530</v>
      </c>
    </row>
    <row r="140" spans="1:10">
      <c r="A140" s="79" t="s">
        <v>576</v>
      </c>
      <c r="B140" s="346"/>
      <c r="C140" s="70" t="s">
        <v>225</v>
      </c>
      <c r="D140" s="80">
        <v>0.04</v>
      </c>
      <c r="E140" s="70">
        <v>4.3</v>
      </c>
      <c r="F140" s="70">
        <f t="shared" si="42"/>
        <v>4.3E-3</v>
      </c>
      <c r="G140" s="70">
        <f t="shared" si="43"/>
        <v>1.7200000000000001E-4</v>
      </c>
      <c r="H140" s="346"/>
      <c r="I140" s="346"/>
      <c r="J140" s="22" t="s">
        <v>530</v>
      </c>
    </row>
    <row r="141" spans="1:10">
      <c r="A141" s="21"/>
      <c r="B141" s="17"/>
      <c r="C141" s="17"/>
      <c r="D141" s="18"/>
      <c r="E141" s="17"/>
      <c r="F141" s="17"/>
      <c r="G141" s="17"/>
      <c r="H141" s="19"/>
      <c r="I141" s="19"/>
      <c r="J141" s="22"/>
    </row>
    <row r="142" spans="1:10">
      <c r="A142" s="21" t="s">
        <v>282</v>
      </c>
      <c r="B142" s="345" t="s">
        <v>517</v>
      </c>
      <c r="C142" s="17" t="s">
        <v>640</v>
      </c>
      <c r="D142" s="18">
        <v>-3.51</v>
      </c>
      <c r="E142" s="17">
        <v>1</v>
      </c>
      <c r="F142" s="17">
        <f t="shared" ref="F142:F143" si="44">E142*B$5</f>
        <v>1E-3</v>
      </c>
      <c r="G142" s="17">
        <f t="shared" ref="G142:G143" si="45">F142*D142</f>
        <v>-3.5099999999999997E-3</v>
      </c>
      <c r="H142" s="345">
        <f>-(G143)+(G142)</f>
        <v>-3.8299999999999996E-3</v>
      </c>
      <c r="I142" s="345"/>
      <c r="J142" s="22" t="s">
        <v>530</v>
      </c>
    </row>
    <row r="143" spans="1:10">
      <c r="A143" s="21" t="s">
        <v>282</v>
      </c>
      <c r="B143" s="345"/>
      <c r="C143" s="17" t="s">
        <v>225</v>
      </c>
      <c r="D143" s="18">
        <v>0.32</v>
      </c>
      <c r="E143" s="17">
        <v>1</v>
      </c>
      <c r="F143" s="17">
        <f t="shared" si="44"/>
        <v>1E-3</v>
      </c>
      <c r="G143" s="17">
        <f t="shared" si="45"/>
        <v>3.2000000000000003E-4</v>
      </c>
      <c r="H143" s="345"/>
      <c r="I143" s="345"/>
      <c r="J143" s="22" t="s">
        <v>530</v>
      </c>
    </row>
    <row r="144" spans="1:10">
      <c r="A144" s="21"/>
      <c r="B144" s="17"/>
      <c r="C144" s="17"/>
      <c r="D144" s="18"/>
      <c r="E144" s="17"/>
      <c r="F144" s="17"/>
      <c r="G144" s="17"/>
      <c r="H144" s="19"/>
      <c r="I144" s="19"/>
      <c r="J144" s="22"/>
    </row>
    <row r="145" spans="1:10">
      <c r="A145" s="79" t="s">
        <v>282</v>
      </c>
      <c r="B145" s="346" t="s">
        <v>224</v>
      </c>
      <c r="C145" s="70" t="s">
        <v>640</v>
      </c>
      <c r="D145" s="80">
        <v>-3.51</v>
      </c>
      <c r="E145" s="70">
        <v>4.8</v>
      </c>
      <c r="F145" s="70">
        <f t="shared" ref="F145:F146" si="46">E145*B$5</f>
        <v>4.7999999999999996E-3</v>
      </c>
      <c r="G145" s="70">
        <f t="shared" ref="G145:G146" si="47">F145*D145</f>
        <v>-1.6847999999999998E-2</v>
      </c>
      <c r="H145" s="346">
        <f>-(G146)+(G145)</f>
        <v>-1.8383999999999998E-2</v>
      </c>
      <c r="I145" s="346"/>
      <c r="J145" s="22" t="s">
        <v>530</v>
      </c>
    </row>
    <row r="146" spans="1:10">
      <c r="A146" s="79" t="s">
        <v>282</v>
      </c>
      <c r="B146" s="346"/>
      <c r="C146" s="70" t="s">
        <v>225</v>
      </c>
      <c r="D146" s="80">
        <v>0.32</v>
      </c>
      <c r="E146" s="70">
        <v>4.8</v>
      </c>
      <c r="F146" s="70">
        <f t="shared" si="46"/>
        <v>4.7999999999999996E-3</v>
      </c>
      <c r="G146" s="70">
        <f t="shared" si="47"/>
        <v>1.5359999999999998E-3</v>
      </c>
      <c r="H146" s="346"/>
      <c r="I146" s="346"/>
      <c r="J146" s="22" t="s">
        <v>530</v>
      </c>
    </row>
    <row r="147" spans="1:10">
      <c r="A147" s="21"/>
      <c r="B147" s="17"/>
      <c r="C147" s="17"/>
      <c r="D147" s="18"/>
      <c r="E147" s="17"/>
      <c r="F147" s="17"/>
      <c r="G147" s="17"/>
      <c r="H147" s="19"/>
      <c r="I147" s="19"/>
      <c r="J147" s="22"/>
    </row>
    <row r="148" spans="1:10">
      <c r="A148" s="21" t="s">
        <v>553</v>
      </c>
      <c r="B148" s="345" t="s">
        <v>517</v>
      </c>
      <c r="C148" s="17" t="s">
        <v>640</v>
      </c>
      <c r="D148" s="18">
        <v>-3.1</v>
      </c>
      <c r="E148" s="17">
        <v>39.5</v>
      </c>
      <c r="F148" s="17">
        <f t="shared" ref="F148:F149" si="48">E148*B$5</f>
        <v>3.95E-2</v>
      </c>
      <c r="G148" s="17">
        <f t="shared" ref="G148:G149" si="49">F148*D148</f>
        <v>-0.12245</v>
      </c>
      <c r="H148" s="345">
        <f>-(G149)+(G148)</f>
        <v>-0.13746</v>
      </c>
      <c r="I148" s="345"/>
      <c r="J148" s="22" t="s">
        <v>530</v>
      </c>
    </row>
    <row r="149" spans="1:10">
      <c r="A149" s="21" t="s">
        <v>590</v>
      </c>
      <c r="B149" s="345"/>
      <c r="C149" s="17" t="s">
        <v>225</v>
      </c>
      <c r="D149" s="18">
        <v>0.38</v>
      </c>
      <c r="E149" s="17">
        <v>39.5</v>
      </c>
      <c r="F149" s="17">
        <f t="shared" si="48"/>
        <v>3.95E-2</v>
      </c>
      <c r="G149" s="17">
        <f t="shared" si="49"/>
        <v>1.5010000000000001E-2</v>
      </c>
      <c r="H149" s="345"/>
      <c r="I149" s="345"/>
      <c r="J149" s="22" t="s">
        <v>530</v>
      </c>
    </row>
    <row r="150" spans="1:10">
      <c r="A150" s="21"/>
      <c r="B150" s="17"/>
      <c r="C150" s="17"/>
      <c r="D150" s="18"/>
      <c r="E150" s="17"/>
      <c r="F150" s="17"/>
      <c r="G150" s="17"/>
      <c r="H150" s="19"/>
      <c r="I150" s="19"/>
      <c r="J150" s="22"/>
    </row>
    <row r="151" spans="1:10">
      <c r="A151" s="79" t="s">
        <v>553</v>
      </c>
      <c r="B151" s="346" t="s">
        <v>224</v>
      </c>
      <c r="C151" s="70" t="s">
        <v>640</v>
      </c>
      <c r="D151" s="80">
        <v>-3.1</v>
      </c>
      <c r="E151" s="70">
        <v>0</v>
      </c>
      <c r="F151" s="70">
        <f t="shared" ref="F151:F152" si="50">E151*B$5</f>
        <v>0</v>
      </c>
      <c r="G151" s="70">
        <f t="shared" ref="G151:G152" si="51">F151*D151</f>
        <v>0</v>
      </c>
      <c r="H151" s="346">
        <f>-(G152)+(G151)</f>
        <v>0</v>
      </c>
      <c r="I151" s="346"/>
      <c r="J151" s="22" t="s">
        <v>530</v>
      </c>
    </row>
    <row r="152" spans="1:10">
      <c r="A152" s="79" t="s">
        <v>590</v>
      </c>
      <c r="B152" s="346"/>
      <c r="C152" s="70" t="s">
        <v>225</v>
      </c>
      <c r="D152" s="80">
        <v>0.38</v>
      </c>
      <c r="E152" s="70">
        <v>0</v>
      </c>
      <c r="F152" s="70">
        <f t="shared" si="50"/>
        <v>0</v>
      </c>
      <c r="G152" s="70">
        <f t="shared" si="51"/>
        <v>0</v>
      </c>
      <c r="H152" s="346"/>
      <c r="I152" s="346"/>
      <c r="J152" s="22" t="s">
        <v>530</v>
      </c>
    </row>
    <row r="153" spans="1:10">
      <c r="A153" s="21"/>
      <c r="B153" s="17"/>
      <c r="C153" s="17"/>
      <c r="D153" s="18"/>
      <c r="E153" s="17"/>
      <c r="F153" s="20"/>
      <c r="G153" s="20"/>
      <c r="H153" s="19"/>
      <c r="I153" s="19"/>
      <c r="J153" s="22"/>
    </row>
    <row r="154" spans="1:10">
      <c r="A154" s="79" t="s">
        <v>560</v>
      </c>
      <c r="B154" s="346" t="s">
        <v>522</v>
      </c>
      <c r="C154" s="70" t="s">
        <v>194</v>
      </c>
      <c r="D154" s="80">
        <v>-0.2</v>
      </c>
      <c r="E154" s="70">
        <v>23.4</v>
      </c>
      <c r="F154" s="70">
        <f t="shared" ref="F154:F155" si="52">E154*B$5</f>
        <v>2.3400000000000001E-2</v>
      </c>
      <c r="G154" s="70">
        <f t="shared" ref="G154:G155" si="53">F154*D154</f>
        <v>-4.6800000000000001E-3</v>
      </c>
      <c r="H154" s="346">
        <f>-(G155)+(G154)</f>
        <v>-7.254E-3</v>
      </c>
      <c r="I154" s="346"/>
      <c r="J154" s="22" t="s">
        <v>530</v>
      </c>
    </row>
    <row r="155" spans="1:10" ht="14" thickBot="1">
      <c r="A155" s="81" t="s">
        <v>560</v>
      </c>
      <c r="B155" s="350"/>
      <c r="C155" s="72" t="s">
        <v>225</v>
      </c>
      <c r="D155" s="82">
        <v>0.11</v>
      </c>
      <c r="E155" s="72">
        <v>23.4</v>
      </c>
      <c r="F155" s="72">
        <f t="shared" si="52"/>
        <v>2.3400000000000001E-2</v>
      </c>
      <c r="G155" s="72">
        <f t="shared" si="53"/>
        <v>2.5739999999999999E-3</v>
      </c>
      <c r="H155" s="350"/>
      <c r="I155" s="350"/>
      <c r="J155" s="23" t="s">
        <v>530</v>
      </c>
    </row>
    <row r="158" spans="1:10">
      <c r="A158" s="14" t="s">
        <v>399</v>
      </c>
      <c r="B158" s="83">
        <f>SUM(E118+E121+E124+E127+E130+E133+E136+E139+E142+E145+E148+E151+E154)</f>
        <v>408.29999999999995</v>
      </c>
    </row>
    <row r="159" spans="1:10">
      <c r="A159" s="15" t="s">
        <v>614</v>
      </c>
      <c r="B159" s="84">
        <f>SUM(H118+H124+H130+H136+H142+H148)</f>
        <v>-0.25569599999999998</v>
      </c>
    </row>
    <row r="160" spans="1:10" ht="14" thickBot="1">
      <c r="A160" s="16" t="s">
        <v>633</v>
      </c>
      <c r="B160" s="85">
        <f>SUM(H121+H127+H133+H139+H145+H151+H154)</f>
        <v>-0.24290700000000001</v>
      </c>
    </row>
    <row r="161" spans="1:10" ht="14" thickBot="1">
      <c r="A161" s="354" t="s">
        <v>554</v>
      </c>
      <c r="B161" s="354"/>
      <c r="C161" s="354"/>
      <c r="D161" s="32">
        <f>B159*242</f>
        <v>-61.878431999999997</v>
      </c>
    </row>
    <row r="162" spans="1:10" ht="14" thickBot="1">
      <c r="A162" s="355" t="s">
        <v>491</v>
      </c>
      <c r="B162" s="355"/>
      <c r="C162" s="357"/>
      <c r="D162" s="86">
        <f>B160*242</f>
        <v>-58.783494000000005</v>
      </c>
    </row>
    <row r="163" spans="1:10">
      <c r="D163" s="11">
        <f>SUM(D161:D162)</f>
        <v>-120.66192599999999</v>
      </c>
    </row>
    <row r="166" spans="1:10" ht="14" thickBot="1">
      <c r="A166" s="87" t="s">
        <v>180</v>
      </c>
    </row>
    <row r="167" spans="1:10" ht="16" thickBot="1">
      <c r="A167" s="28" t="s">
        <v>358</v>
      </c>
      <c r="B167" s="29" t="s">
        <v>359</v>
      </c>
      <c r="C167" s="29" t="s">
        <v>360</v>
      </c>
      <c r="D167" s="30" t="s">
        <v>361</v>
      </c>
      <c r="E167" s="78" t="s">
        <v>571</v>
      </c>
      <c r="F167" s="29" t="s">
        <v>572</v>
      </c>
      <c r="G167" s="29" t="s">
        <v>532</v>
      </c>
      <c r="H167" s="29" t="s">
        <v>642</v>
      </c>
      <c r="I167" s="29" t="s">
        <v>632</v>
      </c>
      <c r="J167" s="31" t="s">
        <v>556</v>
      </c>
    </row>
    <row r="168" spans="1:10">
      <c r="A168" s="24" t="s">
        <v>574</v>
      </c>
      <c r="B168" s="344" t="s">
        <v>518</v>
      </c>
      <c r="C168" s="25" t="s">
        <v>194</v>
      </c>
      <c r="D168" s="26">
        <v>-0.2</v>
      </c>
      <c r="E168" s="25">
        <v>35</v>
      </c>
      <c r="F168" s="25">
        <f>E168*B$5</f>
        <v>3.5000000000000003E-2</v>
      </c>
      <c r="G168" s="25">
        <f>F168*D168</f>
        <v>-7.000000000000001E-3</v>
      </c>
      <c r="H168" s="344">
        <f>-(G169)+(G168)</f>
        <v>-3.1850000000000003E-2</v>
      </c>
      <c r="I168" s="344"/>
      <c r="J168" s="27" t="s">
        <v>530</v>
      </c>
    </row>
    <row r="169" spans="1:10">
      <c r="A169" s="21" t="s">
        <v>574</v>
      </c>
      <c r="B169" s="345"/>
      <c r="C169" s="17" t="s">
        <v>225</v>
      </c>
      <c r="D169" s="18">
        <v>0.71</v>
      </c>
      <c r="E169" s="17">
        <v>35</v>
      </c>
      <c r="F169" s="17">
        <f t="shared" ref="F169" si="54">E169*B$5</f>
        <v>3.5000000000000003E-2</v>
      </c>
      <c r="G169" s="17">
        <f t="shared" ref="G169" si="55">F169*D169</f>
        <v>2.4850000000000001E-2</v>
      </c>
      <c r="H169" s="345"/>
      <c r="I169" s="345"/>
      <c r="J169" s="22" t="s">
        <v>530</v>
      </c>
    </row>
    <row r="170" spans="1:10">
      <c r="A170" s="21"/>
      <c r="B170" s="17"/>
      <c r="C170" s="17"/>
      <c r="D170" s="18"/>
      <c r="E170" s="17"/>
      <c r="F170" s="17"/>
      <c r="G170" s="17"/>
      <c r="H170" s="19"/>
      <c r="I170" s="19"/>
      <c r="J170" s="22"/>
    </row>
    <row r="171" spans="1:10">
      <c r="A171" s="79" t="s">
        <v>574</v>
      </c>
      <c r="B171" s="346" t="s">
        <v>224</v>
      </c>
      <c r="C171" s="70" t="s">
        <v>194</v>
      </c>
      <c r="D171" s="80">
        <v>-0.2</v>
      </c>
      <c r="E171" s="70">
        <v>79.599999999999994</v>
      </c>
      <c r="F171" s="70">
        <f t="shared" ref="F171:F172" si="56">E171*B$5</f>
        <v>7.959999999999999E-2</v>
      </c>
      <c r="G171" s="70">
        <f>F171*D171</f>
        <v>-1.592E-2</v>
      </c>
      <c r="H171" s="346">
        <f>-(G172)+(G171)</f>
        <v>-7.2435999999999987E-2</v>
      </c>
      <c r="I171" s="346"/>
      <c r="J171" s="22" t="s">
        <v>530</v>
      </c>
    </row>
    <row r="172" spans="1:10">
      <c r="A172" s="79" t="s">
        <v>574</v>
      </c>
      <c r="B172" s="346"/>
      <c r="C172" s="70" t="s">
        <v>225</v>
      </c>
      <c r="D172" s="80">
        <v>0.71</v>
      </c>
      <c r="E172" s="70">
        <v>79.599999999999994</v>
      </c>
      <c r="F172" s="70">
        <f t="shared" si="56"/>
        <v>7.959999999999999E-2</v>
      </c>
      <c r="G172" s="70">
        <f t="shared" ref="G172" si="57">F172*D172</f>
        <v>5.651599999999999E-2</v>
      </c>
      <c r="H172" s="346"/>
      <c r="I172" s="346"/>
      <c r="J172" s="22" t="s">
        <v>530</v>
      </c>
    </row>
    <row r="173" spans="1:10">
      <c r="A173" s="21"/>
      <c r="B173" s="17"/>
      <c r="C173" s="17"/>
      <c r="D173" s="18"/>
      <c r="E173" s="17"/>
      <c r="F173" s="17"/>
      <c r="G173" s="17"/>
      <c r="H173" s="19"/>
      <c r="I173" s="19"/>
      <c r="J173" s="22"/>
    </row>
    <row r="174" spans="1:10">
      <c r="A174" s="21" t="s">
        <v>573</v>
      </c>
      <c r="B174" s="345" t="s">
        <v>517</v>
      </c>
      <c r="C174" s="17" t="s">
        <v>640</v>
      </c>
      <c r="D174" s="18">
        <v>-5.41</v>
      </c>
      <c r="E174" s="17">
        <v>2.6</v>
      </c>
      <c r="F174" s="17">
        <f t="shared" ref="F174:F175" si="58">E174*B$5</f>
        <v>2.6000000000000003E-3</v>
      </c>
      <c r="G174" s="17">
        <f t="shared" ref="G174:G175" si="59">F174*D174</f>
        <v>-1.4066000000000002E-2</v>
      </c>
      <c r="H174" s="345">
        <f>-(G175)+(G174)</f>
        <v>-1.4170000000000002E-2</v>
      </c>
      <c r="I174" s="345"/>
      <c r="J174" s="22" t="s">
        <v>530</v>
      </c>
    </row>
    <row r="175" spans="1:10">
      <c r="A175" s="21" t="s">
        <v>573</v>
      </c>
      <c r="B175" s="345"/>
      <c r="C175" s="17" t="s">
        <v>225</v>
      </c>
      <c r="D175" s="18">
        <v>0.04</v>
      </c>
      <c r="E175" s="17">
        <v>2.6</v>
      </c>
      <c r="F175" s="17">
        <f t="shared" si="58"/>
        <v>2.6000000000000003E-3</v>
      </c>
      <c r="G175" s="17">
        <f t="shared" si="59"/>
        <v>1.0400000000000002E-4</v>
      </c>
      <c r="H175" s="345"/>
      <c r="I175" s="345"/>
      <c r="J175" s="22" t="s">
        <v>530</v>
      </c>
    </row>
    <row r="176" spans="1:10">
      <c r="A176" s="21"/>
      <c r="B176" s="17"/>
      <c r="C176" s="17"/>
      <c r="D176" s="18"/>
      <c r="E176" s="17"/>
      <c r="F176" s="17"/>
      <c r="G176" s="17"/>
      <c r="H176" s="19"/>
      <c r="I176" s="19"/>
      <c r="J176" s="22"/>
    </row>
    <row r="177" spans="1:10">
      <c r="A177" s="79" t="s">
        <v>573</v>
      </c>
      <c r="B177" s="346" t="s">
        <v>224</v>
      </c>
      <c r="C177" s="70" t="s">
        <v>640</v>
      </c>
      <c r="D177" s="80">
        <v>-5.41</v>
      </c>
      <c r="E177" s="70">
        <v>1.1000000000000001</v>
      </c>
      <c r="F177" s="70">
        <f t="shared" ref="F177" si="60">E177*B$5</f>
        <v>1.1000000000000001E-3</v>
      </c>
      <c r="G177" s="70">
        <f t="shared" ref="G177:G178" si="61">F177*D177</f>
        <v>-5.9510000000000006E-3</v>
      </c>
      <c r="H177" s="346">
        <f>-(G178)+(G177)</f>
        <v>-5.9950000000000003E-3</v>
      </c>
      <c r="I177" s="346"/>
      <c r="J177" s="22" t="s">
        <v>530</v>
      </c>
    </row>
    <row r="178" spans="1:10">
      <c r="A178" s="79" t="s">
        <v>573</v>
      </c>
      <c r="B178" s="346"/>
      <c r="C178" s="70" t="s">
        <v>225</v>
      </c>
      <c r="D178" s="80">
        <v>0.04</v>
      </c>
      <c r="E178" s="70">
        <v>1.1000000000000001</v>
      </c>
      <c r="F178" s="70">
        <f>E178*B$5</f>
        <v>1.1000000000000001E-3</v>
      </c>
      <c r="G178" s="70">
        <f t="shared" si="61"/>
        <v>4.4000000000000006E-5</v>
      </c>
      <c r="H178" s="346"/>
      <c r="I178" s="346"/>
      <c r="J178" s="22" t="s">
        <v>530</v>
      </c>
    </row>
    <row r="179" spans="1:10">
      <c r="A179" s="21"/>
      <c r="B179" s="17"/>
      <c r="C179" s="17"/>
      <c r="D179" s="18"/>
      <c r="E179" s="17"/>
      <c r="F179" s="17"/>
      <c r="G179" s="17"/>
      <c r="H179" s="19"/>
      <c r="I179" s="19"/>
      <c r="J179" s="22"/>
    </row>
    <row r="180" spans="1:10">
      <c r="A180" s="21" t="s">
        <v>575</v>
      </c>
      <c r="B180" s="345" t="s">
        <v>517</v>
      </c>
      <c r="C180" s="17" t="s">
        <v>640</v>
      </c>
      <c r="D180" s="18">
        <v>-0.28000000000000003</v>
      </c>
      <c r="E180" s="17">
        <v>9.15</v>
      </c>
      <c r="F180" s="17">
        <f t="shared" ref="F180:F181" si="62">E180*B$5</f>
        <v>9.1500000000000001E-3</v>
      </c>
      <c r="G180" s="17">
        <f t="shared" ref="G180:G181" si="63">F180*D180</f>
        <v>-2.5620000000000005E-3</v>
      </c>
      <c r="H180" s="345">
        <f>-(G181)+(G180)</f>
        <v>-2.9280000000000005E-3</v>
      </c>
      <c r="I180" s="345"/>
      <c r="J180" s="22" t="s">
        <v>530</v>
      </c>
    </row>
    <row r="181" spans="1:10">
      <c r="A181" s="21" t="s">
        <v>575</v>
      </c>
      <c r="B181" s="345"/>
      <c r="C181" s="17" t="s">
        <v>225</v>
      </c>
      <c r="D181" s="18">
        <v>0.04</v>
      </c>
      <c r="E181" s="17">
        <v>9.15</v>
      </c>
      <c r="F181" s="17">
        <f t="shared" si="62"/>
        <v>9.1500000000000001E-3</v>
      </c>
      <c r="G181" s="17">
        <f t="shared" si="63"/>
        <v>3.6600000000000001E-4</v>
      </c>
      <c r="H181" s="345"/>
      <c r="I181" s="345"/>
      <c r="J181" s="22" t="s">
        <v>530</v>
      </c>
    </row>
    <row r="182" spans="1:10">
      <c r="A182" s="21"/>
      <c r="B182" s="17"/>
      <c r="C182" s="17"/>
      <c r="D182" s="18"/>
      <c r="E182" s="17"/>
      <c r="F182" s="17"/>
      <c r="G182" s="17"/>
      <c r="H182" s="19"/>
      <c r="I182" s="19"/>
      <c r="J182" s="22"/>
    </row>
    <row r="183" spans="1:10">
      <c r="A183" s="79" t="s">
        <v>575</v>
      </c>
      <c r="B183" s="346" t="s">
        <v>224</v>
      </c>
      <c r="C183" s="70" t="s">
        <v>640</v>
      </c>
      <c r="D183" s="80">
        <v>-0.28000000000000003</v>
      </c>
      <c r="E183" s="70">
        <v>4.0999999999999996</v>
      </c>
      <c r="F183" s="70">
        <f t="shared" ref="F183:F184" si="64">E183*B$5</f>
        <v>4.0999999999999995E-3</v>
      </c>
      <c r="G183" s="70">
        <f t="shared" ref="G183:G184" si="65">F183*D183</f>
        <v>-1.1479999999999999E-3</v>
      </c>
      <c r="H183" s="346">
        <f>-(G184)+(G183)</f>
        <v>-1.3119999999999998E-3</v>
      </c>
      <c r="I183" s="346"/>
      <c r="J183" s="22" t="s">
        <v>530</v>
      </c>
    </row>
    <row r="184" spans="1:10">
      <c r="A184" s="79" t="s">
        <v>575</v>
      </c>
      <c r="B184" s="346"/>
      <c r="C184" s="70" t="s">
        <v>225</v>
      </c>
      <c r="D184" s="80">
        <v>0.04</v>
      </c>
      <c r="E184" s="70">
        <v>4.0999999999999996</v>
      </c>
      <c r="F184" s="70">
        <f t="shared" si="64"/>
        <v>4.0999999999999995E-3</v>
      </c>
      <c r="G184" s="70">
        <f t="shared" si="65"/>
        <v>1.6399999999999997E-4</v>
      </c>
      <c r="H184" s="346"/>
      <c r="I184" s="346"/>
      <c r="J184" s="22" t="s">
        <v>530</v>
      </c>
    </row>
    <row r="185" spans="1:10">
      <c r="A185" s="21"/>
      <c r="B185" s="17"/>
      <c r="C185" s="17"/>
      <c r="D185" s="18"/>
      <c r="E185" s="17"/>
      <c r="F185" s="17"/>
      <c r="G185" s="17"/>
      <c r="H185" s="19"/>
      <c r="I185" s="19"/>
      <c r="J185" s="22"/>
    </row>
    <row r="186" spans="1:10">
      <c r="A186" s="21" t="s">
        <v>576</v>
      </c>
      <c r="B186" s="345" t="s">
        <v>517</v>
      </c>
      <c r="C186" s="17" t="s">
        <v>640</v>
      </c>
      <c r="D186" s="18">
        <v>-1.53</v>
      </c>
      <c r="E186" s="17">
        <v>10.9</v>
      </c>
      <c r="F186" s="17">
        <f t="shared" ref="F186:F187" si="66">E186*B$5</f>
        <v>1.09E-2</v>
      </c>
      <c r="G186" s="17">
        <f t="shared" ref="G186:G187" si="67">F186*D186</f>
        <v>-1.6677000000000001E-2</v>
      </c>
      <c r="H186" s="345">
        <f>-(G187)+(G186)</f>
        <v>-1.7113E-2</v>
      </c>
      <c r="I186" s="345"/>
      <c r="J186" s="22" t="s">
        <v>530</v>
      </c>
    </row>
    <row r="187" spans="1:10">
      <c r="A187" s="21" t="s">
        <v>576</v>
      </c>
      <c r="B187" s="345"/>
      <c r="C187" s="17" t="s">
        <v>225</v>
      </c>
      <c r="D187" s="18">
        <v>0.04</v>
      </c>
      <c r="E187" s="17">
        <v>10.9</v>
      </c>
      <c r="F187" s="17">
        <f t="shared" si="66"/>
        <v>1.09E-2</v>
      </c>
      <c r="G187" s="17">
        <f t="shared" si="67"/>
        <v>4.3600000000000003E-4</v>
      </c>
      <c r="H187" s="345"/>
      <c r="I187" s="345"/>
      <c r="J187" s="22" t="s">
        <v>530</v>
      </c>
    </row>
    <row r="188" spans="1:10">
      <c r="A188" s="21"/>
      <c r="B188" s="17"/>
      <c r="C188" s="17"/>
      <c r="D188" s="18"/>
      <c r="E188" s="17"/>
      <c r="F188" s="17"/>
      <c r="G188" s="17"/>
      <c r="H188" s="19"/>
      <c r="I188" s="19"/>
      <c r="J188" s="22"/>
    </row>
    <row r="189" spans="1:10">
      <c r="A189" s="79" t="s">
        <v>576</v>
      </c>
      <c r="B189" s="346" t="s">
        <v>224</v>
      </c>
      <c r="C189" s="70" t="s">
        <v>640</v>
      </c>
      <c r="D189" s="80">
        <v>-1.53</v>
      </c>
      <c r="E189" s="70">
        <v>8.6</v>
      </c>
      <c r="F189" s="70">
        <f t="shared" ref="F189:F190" si="68">E189*B$5</f>
        <v>8.6E-3</v>
      </c>
      <c r="G189" s="70">
        <f t="shared" ref="G189:G190" si="69">F189*D189</f>
        <v>-1.3158E-2</v>
      </c>
      <c r="H189" s="346">
        <f>-(G190)+(G189)</f>
        <v>-1.3502E-2</v>
      </c>
      <c r="I189" s="346"/>
      <c r="J189" s="22" t="s">
        <v>530</v>
      </c>
    </row>
    <row r="190" spans="1:10">
      <c r="A190" s="79" t="s">
        <v>576</v>
      </c>
      <c r="B190" s="346"/>
      <c r="C190" s="70" t="s">
        <v>225</v>
      </c>
      <c r="D190" s="80">
        <v>0.04</v>
      </c>
      <c r="E190" s="70">
        <v>8.6</v>
      </c>
      <c r="F190" s="70">
        <f t="shared" si="68"/>
        <v>8.6E-3</v>
      </c>
      <c r="G190" s="70">
        <f t="shared" si="69"/>
        <v>3.4400000000000001E-4</v>
      </c>
      <c r="H190" s="346"/>
      <c r="I190" s="346"/>
      <c r="J190" s="22" t="s">
        <v>530</v>
      </c>
    </row>
    <row r="191" spans="1:10">
      <c r="A191" s="21"/>
      <c r="B191" s="17"/>
      <c r="C191" s="17"/>
      <c r="D191" s="18"/>
      <c r="E191" s="17"/>
      <c r="F191" s="17"/>
      <c r="G191" s="17"/>
      <c r="H191" s="19"/>
      <c r="I191" s="19"/>
      <c r="J191" s="22"/>
    </row>
    <row r="192" spans="1:10">
      <c r="A192" s="21" t="s">
        <v>282</v>
      </c>
      <c r="B192" s="345" t="s">
        <v>517</v>
      </c>
      <c r="C192" s="17" t="s">
        <v>640</v>
      </c>
      <c r="D192" s="18">
        <v>-3.51</v>
      </c>
      <c r="E192" s="17">
        <v>3.4</v>
      </c>
      <c r="F192" s="17">
        <f t="shared" ref="F192:F193" si="70">E192*B$5</f>
        <v>3.3999999999999998E-3</v>
      </c>
      <c r="G192" s="17">
        <f t="shared" ref="G192:G193" si="71">F192*D192</f>
        <v>-1.1933999999999998E-2</v>
      </c>
      <c r="H192" s="345">
        <f>-(G193)+(G192)</f>
        <v>-1.3021999999999999E-2</v>
      </c>
      <c r="I192" s="345"/>
      <c r="J192" s="22" t="s">
        <v>530</v>
      </c>
    </row>
    <row r="193" spans="1:10">
      <c r="A193" s="21" t="s">
        <v>282</v>
      </c>
      <c r="B193" s="345"/>
      <c r="C193" s="17" t="s">
        <v>225</v>
      </c>
      <c r="D193" s="18">
        <v>0.32</v>
      </c>
      <c r="E193" s="17">
        <v>3.4</v>
      </c>
      <c r="F193" s="17">
        <f t="shared" si="70"/>
        <v>3.3999999999999998E-3</v>
      </c>
      <c r="G193" s="17">
        <f t="shared" si="71"/>
        <v>1.088E-3</v>
      </c>
      <c r="H193" s="345"/>
      <c r="I193" s="345"/>
      <c r="J193" s="22" t="s">
        <v>530</v>
      </c>
    </row>
    <row r="194" spans="1:10">
      <c r="A194" s="21"/>
      <c r="B194" s="17"/>
      <c r="C194" s="17"/>
      <c r="D194" s="18"/>
      <c r="E194" s="17"/>
      <c r="F194" s="17"/>
      <c r="G194" s="17"/>
      <c r="H194" s="19"/>
      <c r="I194" s="19"/>
      <c r="J194" s="22"/>
    </row>
    <row r="195" spans="1:10">
      <c r="A195" s="79" t="s">
        <v>282</v>
      </c>
      <c r="B195" s="346" t="s">
        <v>224</v>
      </c>
      <c r="C195" s="70" t="s">
        <v>640</v>
      </c>
      <c r="D195" s="80">
        <v>-3.51</v>
      </c>
      <c r="E195" s="70">
        <v>3</v>
      </c>
      <c r="F195" s="70">
        <f t="shared" ref="F195:F196" si="72">E195*B$5</f>
        <v>3.0000000000000001E-3</v>
      </c>
      <c r="G195" s="70">
        <f t="shared" ref="G195:G196" si="73">F195*D195</f>
        <v>-1.0529999999999999E-2</v>
      </c>
      <c r="H195" s="346">
        <f>-(G196)+(G195)</f>
        <v>-1.149E-2</v>
      </c>
      <c r="I195" s="346"/>
      <c r="J195" s="22" t="s">
        <v>530</v>
      </c>
    </row>
    <row r="196" spans="1:10">
      <c r="A196" s="79" t="s">
        <v>282</v>
      </c>
      <c r="B196" s="346"/>
      <c r="C196" s="70" t="s">
        <v>225</v>
      </c>
      <c r="D196" s="80">
        <v>0.32</v>
      </c>
      <c r="E196" s="70">
        <v>3</v>
      </c>
      <c r="F196" s="70">
        <f t="shared" si="72"/>
        <v>3.0000000000000001E-3</v>
      </c>
      <c r="G196" s="70">
        <f t="shared" si="73"/>
        <v>9.6000000000000002E-4</v>
      </c>
      <c r="H196" s="346"/>
      <c r="I196" s="346"/>
      <c r="J196" s="22" t="s">
        <v>530</v>
      </c>
    </row>
    <row r="197" spans="1:10">
      <c r="A197" s="21"/>
      <c r="B197" s="17"/>
      <c r="C197" s="17"/>
      <c r="D197" s="18"/>
      <c r="E197" s="17"/>
      <c r="F197" s="17"/>
      <c r="G197" s="17"/>
      <c r="H197" s="19"/>
      <c r="I197" s="19"/>
      <c r="J197" s="22"/>
    </row>
    <row r="198" spans="1:10">
      <c r="A198" s="21" t="s">
        <v>553</v>
      </c>
      <c r="B198" s="345" t="s">
        <v>517</v>
      </c>
      <c r="C198" s="17" t="s">
        <v>640</v>
      </c>
      <c r="D198" s="18">
        <v>-3.1</v>
      </c>
      <c r="E198" s="17">
        <v>70</v>
      </c>
      <c r="F198" s="17">
        <f t="shared" ref="F198:F199" si="74">E198*B$5</f>
        <v>7.0000000000000007E-2</v>
      </c>
      <c r="G198" s="17">
        <f t="shared" ref="G198:G199" si="75">F198*D198</f>
        <v>-0.21700000000000003</v>
      </c>
      <c r="H198" s="345">
        <f>-(G199)+(G198)</f>
        <v>-0.24360000000000004</v>
      </c>
      <c r="I198" s="345"/>
      <c r="J198" s="22" t="s">
        <v>530</v>
      </c>
    </row>
    <row r="199" spans="1:10">
      <c r="A199" s="21" t="s">
        <v>590</v>
      </c>
      <c r="B199" s="345"/>
      <c r="C199" s="17" t="s">
        <v>225</v>
      </c>
      <c r="D199" s="18">
        <v>0.38</v>
      </c>
      <c r="E199" s="17">
        <v>70</v>
      </c>
      <c r="F199" s="17">
        <f t="shared" si="74"/>
        <v>7.0000000000000007E-2</v>
      </c>
      <c r="G199" s="17">
        <f t="shared" si="75"/>
        <v>2.6600000000000002E-2</v>
      </c>
      <c r="H199" s="345"/>
      <c r="I199" s="345"/>
      <c r="J199" s="22" t="s">
        <v>530</v>
      </c>
    </row>
    <row r="200" spans="1:10">
      <c r="A200" s="21"/>
      <c r="B200" s="17"/>
      <c r="C200" s="17"/>
      <c r="D200" s="18"/>
      <c r="E200" s="17"/>
      <c r="F200" s="17"/>
      <c r="G200" s="17"/>
      <c r="H200" s="19"/>
      <c r="I200" s="19"/>
      <c r="J200" s="22"/>
    </row>
    <row r="201" spans="1:10">
      <c r="A201" s="79" t="s">
        <v>553</v>
      </c>
      <c r="B201" s="346" t="s">
        <v>224</v>
      </c>
      <c r="C201" s="70" t="s">
        <v>640</v>
      </c>
      <c r="D201" s="80">
        <v>-3.1</v>
      </c>
      <c r="E201" s="70">
        <v>0</v>
      </c>
      <c r="F201" s="70">
        <f t="shared" ref="F201:F202" si="76">E201*B$5</f>
        <v>0</v>
      </c>
      <c r="G201" s="70">
        <f t="shared" ref="G201:G202" si="77">F201*D201</f>
        <v>0</v>
      </c>
      <c r="H201" s="346">
        <f>-(G202)+(G201)</f>
        <v>0</v>
      </c>
      <c r="I201" s="346"/>
      <c r="J201" s="22" t="s">
        <v>530</v>
      </c>
    </row>
    <row r="202" spans="1:10">
      <c r="A202" s="79" t="s">
        <v>590</v>
      </c>
      <c r="B202" s="346"/>
      <c r="C202" s="70" t="s">
        <v>225</v>
      </c>
      <c r="D202" s="80">
        <v>0.38</v>
      </c>
      <c r="E202" s="70">
        <v>0</v>
      </c>
      <c r="F202" s="70">
        <f t="shared" si="76"/>
        <v>0</v>
      </c>
      <c r="G202" s="70">
        <f t="shared" si="77"/>
        <v>0</v>
      </c>
      <c r="H202" s="346"/>
      <c r="I202" s="346"/>
      <c r="J202" s="22" t="s">
        <v>530</v>
      </c>
    </row>
    <row r="203" spans="1:10">
      <c r="A203" s="21"/>
      <c r="B203" s="17"/>
      <c r="C203" s="17"/>
      <c r="D203" s="18"/>
      <c r="E203" s="17"/>
      <c r="F203" s="20"/>
      <c r="G203" s="20"/>
      <c r="H203" s="19"/>
      <c r="I203" s="19"/>
      <c r="J203" s="22"/>
    </row>
    <row r="204" spans="1:10">
      <c r="A204" s="79" t="s">
        <v>560</v>
      </c>
      <c r="B204" s="346" t="s">
        <v>522</v>
      </c>
      <c r="C204" s="70" t="s">
        <v>194</v>
      </c>
      <c r="D204" s="80">
        <v>-0.2</v>
      </c>
      <c r="E204" s="70">
        <v>98.7</v>
      </c>
      <c r="F204" s="70">
        <f t="shared" ref="F204:F205" si="78">E204*B$5</f>
        <v>9.870000000000001E-2</v>
      </c>
      <c r="G204" s="70">
        <f t="shared" ref="G204:G205" si="79">F204*D204</f>
        <v>-1.9740000000000004E-2</v>
      </c>
      <c r="H204" s="346">
        <f>-(G205)+(G204)</f>
        <v>-3.0597000000000006E-2</v>
      </c>
      <c r="I204" s="346"/>
      <c r="J204" s="22" t="s">
        <v>530</v>
      </c>
    </row>
    <row r="205" spans="1:10" ht="14" thickBot="1">
      <c r="A205" s="81" t="s">
        <v>560</v>
      </c>
      <c r="B205" s="350"/>
      <c r="C205" s="72" t="s">
        <v>225</v>
      </c>
      <c r="D205" s="82">
        <v>0.11</v>
      </c>
      <c r="E205" s="72">
        <v>98.7</v>
      </c>
      <c r="F205" s="72">
        <f t="shared" si="78"/>
        <v>9.870000000000001E-2</v>
      </c>
      <c r="G205" s="72">
        <f t="shared" si="79"/>
        <v>1.0857E-2</v>
      </c>
      <c r="H205" s="350"/>
      <c r="I205" s="350"/>
      <c r="J205" s="23" t="s">
        <v>530</v>
      </c>
    </row>
    <row r="208" spans="1:10">
      <c r="A208" s="14" t="s">
        <v>399</v>
      </c>
      <c r="B208" s="83">
        <f>SUM(E168+E171+E174+E177+E180+E183+E186+E189+E192+E195+E198+E201+E204)</f>
        <v>326.14999999999998</v>
      </c>
    </row>
    <row r="209" spans="1:6">
      <c r="A209" s="15" t="s">
        <v>626</v>
      </c>
      <c r="B209" s="84">
        <f>SUM(H168+H174+H180+H186+H192+H198)</f>
        <v>-0.32268300000000005</v>
      </c>
    </row>
    <row r="210" spans="1:6" ht="14" thickBot="1">
      <c r="A210" s="16" t="s">
        <v>633</v>
      </c>
      <c r="B210" s="85">
        <f>SUM(H171+H177+H183+H189+H195+H201+H204)</f>
        <v>-0.13533199999999998</v>
      </c>
    </row>
    <row r="211" spans="1:6" ht="14" thickBot="1">
      <c r="A211" s="354" t="s">
        <v>554</v>
      </c>
      <c r="B211" s="354"/>
      <c r="C211" s="354"/>
      <c r="D211" s="32">
        <f>B209*242</f>
        <v>-78.089286000000016</v>
      </c>
    </row>
    <row r="212" spans="1:6" ht="14" thickBot="1">
      <c r="A212" s="355" t="s">
        <v>491</v>
      </c>
      <c r="B212" s="355"/>
      <c r="C212" s="357"/>
      <c r="D212" s="86">
        <f>B210*242</f>
        <v>-32.750343999999998</v>
      </c>
    </row>
    <row r="213" spans="1:6">
      <c r="D213" s="11">
        <f>SUM(D211:D212)</f>
        <v>-110.83963000000001</v>
      </c>
    </row>
    <row r="217" spans="1:6" ht="14" thickBot="1"/>
    <row r="218" spans="1:6" ht="14.25">
      <c r="A218" s="337" t="s">
        <v>554</v>
      </c>
      <c r="B218" s="338"/>
      <c r="C218" s="338"/>
      <c r="D218" s="339"/>
      <c r="E218" s="339"/>
      <c r="F218" s="77">
        <f>D211+D161+D111+D61</f>
        <v>-250.74205640000005</v>
      </c>
    </row>
    <row r="219" spans="1:6" ht="15" thickBot="1">
      <c r="A219" s="340" t="s">
        <v>491</v>
      </c>
      <c r="B219" s="341"/>
      <c r="C219" s="341"/>
      <c r="D219" s="341"/>
      <c r="E219" s="341"/>
      <c r="F219" s="88">
        <f>D212+D162+D112+D62</f>
        <v>-149.28883199999999</v>
      </c>
    </row>
    <row r="220" spans="1:6">
      <c r="F220">
        <f>SUM(F218:F219)</f>
        <v>-400.03088840000004</v>
      </c>
    </row>
  </sheetData>
  <sheetCalcPr fullCalcOnLoad="1"/>
  <mergeCells count="168">
    <mergeCell ref="A111:C111"/>
    <mergeCell ref="A161:C161"/>
    <mergeCell ref="A211:C211"/>
    <mergeCell ref="A112:C112"/>
    <mergeCell ref="A162:C162"/>
    <mergeCell ref="A212:C212"/>
    <mergeCell ref="B168:B169"/>
    <mergeCell ref="H168:H169"/>
    <mergeCell ref="I168:I169"/>
    <mergeCell ref="B171:B172"/>
    <mergeCell ref="H171:H172"/>
    <mergeCell ref="I171:I172"/>
    <mergeCell ref="B174:B175"/>
    <mergeCell ref="H174:H175"/>
    <mergeCell ref="I174:I175"/>
    <mergeCell ref="B177:B178"/>
    <mergeCell ref="H177:H178"/>
    <mergeCell ref="I177:I178"/>
    <mergeCell ref="B180:B181"/>
    <mergeCell ref="H180:H181"/>
    <mergeCell ref="I180:I181"/>
    <mergeCell ref="B183:B184"/>
    <mergeCell ref="H183:H184"/>
    <mergeCell ref="I183:I184"/>
    <mergeCell ref="I201:I202"/>
    <mergeCell ref="B118:B119"/>
    <mergeCell ref="H118:H119"/>
    <mergeCell ref="I118:I119"/>
    <mergeCell ref="B121:B122"/>
    <mergeCell ref="H121:H122"/>
    <mergeCell ref="I121:I122"/>
    <mergeCell ref="B124:B125"/>
    <mergeCell ref="H124:H125"/>
    <mergeCell ref="I124:I125"/>
    <mergeCell ref="B127:B128"/>
    <mergeCell ref="H127:H128"/>
    <mergeCell ref="I127:I128"/>
    <mergeCell ref="B130:B131"/>
    <mergeCell ref="H130:H131"/>
    <mergeCell ref="I130:I131"/>
    <mergeCell ref="B133:B134"/>
    <mergeCell ref="H133:H134"/>
    <mergeCell ref="I133:I134"/>
    <mergeCell ref="I192:I193"/>
    <mergeCell ref="B195:B196"/>
    <mergeCell ref="H195:H196"/>
    <mergeCell ref="I195:I196"/>
    <mergeCell ref="B189:B190"/>
    <mergeCell ref="H189:H190"/>
    <mergeCell ref="I189:I190"/>
    <mergeCell ref="B139:B140"/>
    <mergeCell ref="H139:H140"/>
    <mergeCell ref="I139:I140"/>
    <mergeCell ref="B142:B143"/>
    <mergeCell ref="H142:H143"/>
    <mergeCell ref="I142:I143"/>
    <mergeCell ref="B154:B155"/>
    <mergeCell ref="H154:H155"/>
    <mergeCell ref="I154:I155"/>
    <mergeCell ref="B186:B187"/>
    <mergeCell ref="H186:H187"/>
    <mergeCell ref="I186:I187"/>
    <mergeCell ref="I204:I205"/>
    <mergeCell ref="B101:B102"/>
    <mergeCell ref="H101:H102"/>
    <mergeCell ref="I101:I102"/>
    <mergeCell ref="B104:B105"/>
    <mergeCell ref="H104:H105"/>
    <mergeCell ref="I104:I105"/>
    <mergeCell ref="B145:B146"/>
    <mergeCell ref="H145:H146"/>
    <mergeCell ref="I145:I146"/>
    <mergeCell ref="B148:B149"/>
    <mergeCell ref="H148:H149"/>
    <mergeCell ref="I148:I149"/>
    <mergeCell ref="B151:B152"/>
    <mergeCell ref="H151:H152"/>
    <mergeCell ref="I151:I152"/>
    <mergeCell ref="B136:B137"/>
    <mergeCell ref="H136:H137"/>
    <mergeCell ref="I136:I137"/>
    <mergeCell ref="B198:B199"/>
    <mergeCell ref="H198:H199"/>
    <mergeCell ref="I198:I199"/>
    <mergeCell ref="B192:B193"/>
    <mergeCell ref="H192:H193"/>
    <mergeCell ref="I95:I96"/>
    <mergeCell ref="B98:B99"/>
    <mergeCell ref="H98:H99"/>
    <mergeCell ref="I98:I99"/>
    <mergeCell ref="B89:B90"/>
    <mergeCell ref="H89:H90"/>
    <mergeCell ref="I89:I90"/>
    <mergeCell ref="B92:B93"/>
    <mergeCell ref="H92:H93"/>
    <mergeCell ref="I92:I93"/>
    <mergeCell ref="I83:I84"/>
    <mergeCell ref="B86:B87"/>
    <mergeCell ref="H86:H87"/>
    <mergeCell ref="I86:I87"/>
    <mergeCell ref="B77:B78"/>
    <mergeCell ref="H77:H78"/>
    <mergeCell ref="I77:I78"/>
    <mergeCell ref="B80:B81"/>
    <mergeCell ref="H80:H81"/>
    <mergeCell ref="I80:I81"/>
    <mergeCell ref="I68:I69"/>
    <mergeCell ref="B71:B72"/>
    <mergeCell ref="H71:H72"/>
    <mergeCell ref="I71:I72"/>
    <mergeCell ref="A62:C62"/>
    <mergeCell ref="I27:I28"/>
    <mergeCell ref="I33:I34"/>
    <mergeCell ref="I39:I40"/>
    <mergeCell ref="I45:I46"/>
    <mergeCell ref="I51:I52"/>
    <mergeCell ref="B33:B34"/>
    <mergeCell ref="B39:B40"/>
    <mergeCell ref="B45:B46"/>
    <mergeCell ref="A61:C61"/>
    <mergeCell ref="I74:I75"/>
    <mergeCell ref="H51:H52"/>
    <mergeCell ref="B54:B55"/>
    <mergeCell ref="H54:H55"/>
    <mergeCell ref="I18:I19"/>
    <mergeCell ref="I24:I25"/>
    <mergeCell ref="I30:I31"/>
    <mergeCell ref="I36:I37"/>
    <mergeCell ref="I42:I43"/>
    <mergeCell ref="I48:I49"/>
    <mergeCell ref="I21:I22"/>
    <mergeCell ref="H33:H34"/>
    <mergeCell ref="H36:H37"/>
    <mergeCell ref="H39:H40"/>
    <mergeCell ref="H42:H43"/>
    <mergeCell ref="H45:H46"/>
    <mergeCell ref="H48:H49"/>
    <mergeCell ref="B36:B37"/>
    <mergeCell ref="B42:B43"/>
    <mergeCell ref="B48:B49"/>
    <mergeCell ref="B21:B22"/>
    <mergeCell ref="B27:B28"/>
    <mergeCell ref="I54:I55"/>
    <mergeCell ref="B68:B69"/>
    <mergeCell ref="A218:E218"/>
    <mergeCell ref="A219:E219"/>
    <mergeCell ref="A1:F1"/>
    <mergeCell ref="B18:B19"/>
    <mergeCell ref="B24:B25"/>
    <mergeCell ref="B30:B31"/>
    <mergeCell ref="B51:B52"/>
    <mergeCell ref="H18:H19"/>
    <mergeCell ref="H21:H22"/>
    <mergeCell ref="H24:H25"/>
    <mergeCell ref="H27:H28"/>
    <mergeCell ref="H30:H31"/>
    <mergeCell ref="B74:B75"/>
    <mergeCell ref="H74:H75"/>
    <mergeCell ref="A12:C12"/>
    <mergeCell ref="H68:H69"/>
    <mergeCell ref="B83:B84"/>
    <mergeCell ref="H83:H84"/>
    <mergeCell ref="B95:B96"/>
    <mergeCell ref="H95:H96"/>
    <mergeCell ref="B204:B205"/>
    <mergeCell ref="H204:H205"/>
    <mergeCell ref="B201:B202"/>
    <mergeCell ref="H201:H202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60"/>
  <sheetViews>
    <sheetView tabSelected="1" topLeftCell="A108" workbookViewId="0">
      <selection activeCell="A225" sqref="A225"/>
    </sheetView>
  </sheetViews>
  <sheetFormatPr baseColWidth="10" defaultColWidth="11" defaultRowHeight="12" outlineLevelRow="1"/>
  <cols>
    <col min="1" max="1" width="56.140625" style="146" bestFit="1" customWidth="1"/>
    <col min="2" max="2" width="12.7109375" style="146" customWidth="1"/>
    <col min="3" max="3" width="20" style="146" customWidth="1"/>
    <col min="4" max="4" width="12.85546875" style="149" customWidth="1"/>
    <col min="5" max="5" width="9.28515625" style="146" customWidth="1"/>
    <col min="6" max="6" width="10" style="145" customWidth="1"/>
    <col min="7" max="7" width="10.85546875" style="145" customWidth="1"/>
    <col min="8" max="8" width="35.140625" style="145" bestFit="1" customWidth="1"/>
    <col min="9" max="16384" width="11" style="146"/>
  </cols>
  <sheetData>
    <row r="1" spans="1:8" ht="15">
      <c r="A1" s="389" t="s">
        <v>195</v>
      </c>
      <c r="B1" s="390"/>
      <c r="C1" s="390"/>
      <c r="D1" s="390"/>
      <c r="E1" s="390"/>
      <c r="F1" s="390"/>
    </row>
    <row r="2" spans="1:8">
      <c r="A2" s="147"/>
      <c r="B2" s="148"/>
      <c r="C2" s="148"/>
    </row>
    <row r="3" spans="1:8">
      <c r="A3" s="150" t="s">
        <v>320</v>
      </c>
      <c r="B3" s="151"/>
      <c r="C3" s="152"/>
    </row>
    <row r="4" spans="1:8">
      <c r="A4" s="360" t="s">
        <v>321</v>
      </c>
      <c r="B4" s="378"/>
      <c r="C4" s="381"/>
    </row>
    <row r="5" spans="1:8">
      <c r="A5" s="150" t="s">
        <v>644</v>
      </c>
      <c r="B5" s="151"/>
      <c r="C5" s="152"/>
    </row>
    <row r="6" spans="1:8">
      <c r="A6" s="360" t="s">
        <v>310</v>
      </c>
      <c r="B6" s="378"/>
      <c r="C6" s="381"/>
    </row>
    <row r="7" spans="1:8">
      <c r="A7" s="147"/>
      <c r="B7" s="148"/>
      <c r="C7" s="148"/>
    </row>
    <row r="8" spans="1:8">
      <c r="A8" s="147"/>
      <c r="B8" s="148"/>
      <c r="C8" s="148"/>
    </row>
    <row r="10" spans="1:8">
      <c r="A10" s="117" t="s">
        <v>562</v>
      </c>
    </row>
    <row r="11" spans="1:8" s="159" customFormat="1" ht="25" hidden="1" outlineLevel="1" thickBot="1">
      <c r="A11" s="153" t="s">
        <v>544</v>
      </c>
      <c r="B11" s="154" t="s">
        <v>545</v>
      </c>
      <c r="C11" s="154" t="s">
        <v>546</v>
      </c>
      <c r="D11" s="155" t="s">
        <v>547</v>
      </c>
      <c r="E11" s="156" t="s">
        <v>509</v>
      </c>
      <c r="F11" s="157" t="s">
        <v>510</v>
      </c>
      <c r="G11" s="158" t="s">
        <v>548</v>
      </c>
      <c r="H11" s="158" t="s">
        <v>558</v>
      </c>
    </row>
    <row r="12" spans="1:8" hidden="1" outlineLevel="1">
      <c r="A12" s="160" t="s">
        <v>431</v>
      </c>
      <c r="B12" s="375" t="s">
        <v>432</v>
      </c>
      <c r="C12" s="161" t="s">
        <v>235</v>
      </c>
      <c r="D12" s="162">
        <v>-0.2</v>
      </c>
      <c r="E12" s="161">
        <v>25</v>
      </c>
      <c r="F12" s="163">
        <f>+E12/1000</f>
        <v>2.5000000000000001E-2</v>
      </c>
      <c r="G12" s="365">
        <f>+D12*F12+D13*F13</f>
        <v>1.2749999999999997E-2</v>
      </c>
      <c r="H12" s="366"/>
    </row>
    <row r="13" spans="1:8" hidden="1" outlineLevel="1">
      <c r="A13" s="164" t="s">
        <v>431</v>
      </c>
      <c r="B13" s="373"/>
      <c r="C13" s="165" t="s">
        <v>236</v>
      </c>
      <c r="D13" s="166">
        <v>0.71</v>
      </c>
      <c r="E13" s="165">
        <v>25</v>
      </c>
      <c r="F13" s="167">
        <f t="shared" ref="F13:F49" si="0">+E13/1000</f>
        <v>2.5000000000000001E-2</v>
      </c>
      <c r="G13" s="366"/>
      <c r="H13" s="368"/>
    </row>
    <row r="14" spans="1:8" hidden="1" outlineLevel="1">
      <c r="A14" s="164"/>
      <c r="B14" s="165"/>
      <c r="C14" s="165"/>
      <c r="D14" s="166"/>
      <c r="E14" s="165"/>
      <c r="F14" s="167"/>
      <c r="G14" s="167"/>
      <c r="H14" s="167"/>
    </row>
    <row r="15" spans="1:8" hidden="1" outlineLevel="1">
      <c r="A15" s="168" t="s">
        <v>431</v>
      </c>
      <c r="B15" s="369" t="s">
        <v>237</v>
      </c>
      <c r="C15" s="169" t="s">
        <v>194</v>
      </c>
      <c r="D15" s="170">
        <v>-0.2</v>
      </c>
      <c r="E15" s="169">
        <v>38</v>
      </c>
      <c r="F15" s="171">
        <f t="shared" si="0"/>
        <v>3.7999999999999999E-2</v>
      </c>
      <c r="G15" s="367">
        <f>+D16*F16</f>
        <v>2.6979999999999997E-2</v>
      </c>
      <c r="H15" s="367">
        <f>+D15*F15</f>
        <v>-7.6E-3</v>
      </c>
    </row>
    <row r="16" spans="1:8" hidden="1" outlineLevel="1">
      <c r="A16" s="168" t="s">
        <v>431</v>
      </c>
      <c r="B16" s="369"/>
      <c r="C16" s="169" t="s">
        <v>238</v>
      </c>
      <c r="D16" s="170">
        <v>0.71</v>
      </c>
      <c r="E16" s="169">
        <v>38</v>
      </c>
      <c r="F16" s="171">
        <f t="shared" si="0"/>
        <v>3.7999999999999999E-2</v>
      </c>
      <c r="G16" s="367"/>
      <c r="H16" s="367"/>
    </row>
    <row r="17" spans="1:8" hidden="1" outlineLevel="1">
      <c r="A17" s="164"/>
      <c r="B17" s="165"/>
      <c r="C17" s="165"/>
      <c r="D17" s="166"/>
      <c r="E17" s="165"/>
      <c r="F17" s="167"/>
      <c r="G17" s="167"/>
      <c r="H17" s="167"/>
    </row>
    <row r="18" spans="1:8" hidden="1" outlineLevel="1">
      <c r="A18" s="164" t="s">
        <v>239</v>
      </c>
      <c r="B18" s="373" t="s">
        <v>240</v>
      </c>
      <c r="C18" s="165" t="s">
        <v>315</v>
      </c>
      <c r="D18" s="166">
        <v>-5.41</v>
      </c>
      <c r="E18" s="165">
        <v>0.1</v>
      </c>
      <c r="F18" s="167">
        <f>+E18/1000</f>
        <v>1E-4</v>
      </c>
      <c r="G18" s="368">
        <f>+D18*F18+D19*F19</f>
        <v>-5.3700000000000004E-4</v>
      </c>
      <c r="H18" s="368"/>
    </row>
    <row r="19" spans="1:8" hidden="1" outlineLevel="1">
      <c r="A19" s="164" t="s">
        <v>241</v>
      </c>
      <c r="B19" s="373"/>
      <c r="C19" s="165" t="s">
        <v>225</v>
      </c>
      <c r="D19" s="166">
        <v>0.04</v>
      </c>
      <c r="E19" s="165">
        <v>0.1</v>
      </c>
      <c r="F19" s="167">
        <f t="shared" si="0"/>
        <v>1E-4</v>
      </c>
      <c r="G19" s="368"/>
      <c r="H19" s="368"/>
    </row>
    <row r="20" spans="1:8" hidden="1" outlineLevel="1">
      <c r="A20" s="164"/>
      <c r="B20" s="165"/>
      <c r="C20" s="165"/>
      <c r="D20" s="166"/>
      <c r="E20" s="165"/>
      <c r="F20" s="167"/>
      <c r="G20" s="167"/>
      <c r="H20" s="167"/>
    </row>
    <row r="21" spans="1:8" hidden="1" outlineLevel="1">
      <c r="A21" s="168" t="s">
        <v>241</v>
      </c>
      <c r="B21" s="369" t="s">
        <v>242</v>
      </c>
      <c r="C21" s="169" t="s">
        <v>315</v>
      </c>
      <c r="D21" s="170">
        <v>-5.41</v>
      </c>
      <c r="E21" s="169">
        <v>4.2</v>
      </c>
      <c r="F21" s="171">
        <f t="shared" si="0"/>
        <v>4.2000000000000006E-3</v>
      </c>
      <c r="G21" s="367">
        <f>+D22*F22</f>
        <v>1.6800000000000002E-4</v>
      </c>
      <c r="H21" s="367">
        <f>+D21*F21</f>
        <v>-2.2722000000000003E-2</v>
      </c>
    </row>
    <row r="22" spans="1:8" hidden="1" outlineLevel="1">
      <c r="A22" s="168" t="s">
        <v>241</v>
      </c>
      <c r="B22" s="369"/>
      <c r="C22" s="169" t="s">
        <v>225</v>
      </c>
      <c r="D22" s="170">
        <v>0.04</v>
      </c>
      <c r="E22" s="169">
        <v>4.2</v>
      </c>
      <c r="F22" s="171">
        <f t="shared" si="0"/>
        <v>4.2000000000000006E-3</v>
      </c>
      <c r="G22" s="367"/>
      <c r="H22" s="367"/>
    </row>
    <row r="23" spans="1:8" hidden="1" outlineLevel="1">
      <c r="A23" s="164"/>
      <c r="B23" s="165"/>
      <c r="C23" s="165"/>
      <c r="D23" s="166"/>
      <c r="E23" s="165"/>
      <c r="F23" s="167"/>
      <c r="G23" s="167"/>
      <c r="H23" s="167"/>
    </row>
    <row r="24" spans="1:8" hidden="1" outlineLevel="1">
      <c r="A24" s="164" t="s">
        <v>243</v>
      </c>
      <c r="B24" s="373" t="s">
        <v>240</v>
      </c>
      <c r="C24" s="165" t="s">
        <v>315</v>
      </c>
      <c r="D24" s="166">
        <v>-0.28000000000000003</v>
      </c>
      <c r="E24" s="165">
        <v>2.2999999999999998</v>
      </c>
      <c r="F24" s="167">
        <f t="shared" si="0"/>
        <v>2.3E-3</v>
      </c>
      <c r="G24" s="368">
        <f>+D24*F24+D25*F25</f>
        <v>-5.5200000000000008E-4</v>
      </c>
      <c r="H24" s="368"/>
    </row>
    <row r="25" spans="1:8" hidden="1" outlineLevel="1">
      <c r="A25" s="164" t="s">
        <v>243</v>
      </c>
      <c r="B25" s="373"/>
      <c r="C25" s="165" t="s">
        <v>225</v>
      </c>
      <c r="D25" s="166">
        <v>0.04</v>
      </c>
      <c r="E25" s="165">
        <v>2.2999999999999998</v>
      </c>
      <c r="F25" s="167">
        <f t="shared" si="0"/>
        <v>2.3E-3</v>
      </c>
      <c r="G25" s="368"/>
      <c r="H25" s="368"/>
    </row>
    <row r="26" spans="1:8" hidden="1" outlineLevel="1">
      <c r="A26" s="164"/>
      <c r="B26" s="165"/>
      <c r="C26" s="165"/>
      <c r="D26" s="166"/>
      <c r="E26" s="165"/>
      <c r="F26" s="167"/>
      <c r="G26" s="167"/>
      <c r="H26" s="167"/>
    </row>
    <row r="27" spans="1:8" hidden="1" outlineLevel="1">
      <c r="A27" s="168" t="s">
        <v>243</v>
      </c>
      <c r="B27" s="369" t="s">
        <v>242</v>
      </c>
      <c r="C27" s="169" t="s">
        <v>315</v>
      </c>
      <c r="D27" s="170">
        <v>-0.28000000000000003</v>
      </c>
      <c r="E27" s="169">
        <v>0.4</v>
      </c>
      <c r="F27" s="171">
        <f t="shared" si="0"/>
        <v>4.0000000000000002E-4</v>
      </c>
      <c r="G27" s="367">
        <f>+D28*F28</f>
        <v>1.6000000000000003E-5</v>
      </c>
      <c r="H27" s="367">
        <f>+D27*F27</f>
        <v>-1.1200000000000001E-4</v>
      </c>
    </row>
    <row r="28" spans="1:8" hidden="1" outlineLevel="1">
      <c r="A28" s="168" t="s">
        <v>243</v>
      </c>
      <c r="B28" s="369"/>
      <c r="C28" s="169" t="s">
        <v>225</v>
      </c>
      <c r="D28" s="170">
        <v>0.04</v>
      </c>
      <c r="E28" s="169">
        <v>0.4</v>
      </c>
      <c r="F28" s="171">
        <f t="shared" si="0"/>
        <v>4.0000000000000002E-4</v>
      </c>
      <c r="G28" s="367"/>
      <c r="H28" s="367"/>
    </row>
    <row r="29" spans="1:8" hidden="1" outlineLevel="1">
      <c r="A29" s="164"/>
      <c r="B29" s="165"/>
      <c r="C29" s="165"/>
      <c r="D29" s="166"/>
      <c r="E29" s="165"/>
      <c r="F29" s="167"/>
      <c r="G29" s="167"/>
      <c r="H29" s="167"/>
    </row>
    <row r="30" spans="1:8" hidden="1" outlineLevel="1">
      <c r="A30" s="164" t="s">
        <v>244</v>
      </c>
      <c r="B30" s="373" t="s">
        <v>240</v>
      </c>
      <c r="C30" s="165" t="s">
        <v>315</v>
      </c>
      <c r="D30" s="166">
        <v>-1.53</v>
      </c>
      <c r="E30" s="165">
        <v>2.4</v>
      </c>
      <c r="F30" s="167">
        <f t="shared" si="0"/>
        <v>2.3999999999999998E-3</v>
      </c>
      <c r="G30" s="368">
        <f>+D30*F30+D31*F31</f>
        <v>-3.5759999999999998E-3</v>
      </c>
      <c r="H30" s="368"/>
    </row>
    <row r="31" spans="1:8" hidden="1" outlineLevel="1">
      <c r="A31" s="164" t="s">
        <v>244</v>
      </c>
      <c r="B31" s="373"/>
      <c r="C31" s="165" t="s">
        <v>225</v>
      </c>
      <c r="D31" s="166">
        <v>0.04</v>
      </c>
      <c r="E31" s="165">
        <v>2.4</v>
      </c>
      <c r="F31" s="167">
        <f t="shared" si="0"/>
        <v>2.3999999999999998E-3</v>
      </c>
      <c r="G31" s="368"/>
      <c r="H31" s="368"/>
    </row>
    <row r="32" spans="1:8" hidden="1" outlineLevel="1">
      <c r="A32" s="164"/>
      <c r="B32" s="165"/>
      <c r="C32" s="165"/>
      <c r="D32" s="166"/>
      <c r="E32" s="165"/>
      <c r="F32" s="167"/>
      <c r="G32" s="167"/>
      <c r="H32" s="167"/>
    </row>
    <row r="33" spans="1:8" hidden="1" outlineLevel="1">
      <c r="A33" s="168" t="s">
        <v>244</v>
      </c>
      <c r="B33" s="369" t="s">
        <v>242</v>
      </c>
      <c r="C33" s="169" t="s">
        <v>315</v>
      </c>
      <c r="D33" s="170">
        <v>-1.53</v>
      </c>
      <c r="E33" s="169">
        <v>1.4</v>
      </c>
      <c r="F33" s="171">
        <f t="shared" si="0"/>
        <v>1.4E-3</v>
      </c>
      <c r="G33" s="367">
        <f>+D34*F34</f>
        <v>5.5999999999999999E-5</v>
      </c>
      <c r="H33" s="367">
        <f>+D33*F33</f>
        <v>-2.1419999999999998E-3</v>
      </c>
    </row>
    <row r="34" spans="1:8" hidden="1" outlineLevel="1">
      <c r="A34" s="168" t="s">
        <v>244</v>
      </c>
      <c r="B34" s="369"/>
      <c r="C34" s="169" t="s">
        <v>225</v>
      </c>
      <c r="D34" s="170">
        <v>0.04</v>
      </c>
      <c r="E34" s="169">
        <v>1.4</v>
      </c>
      <c r="F34" s="171">
        <f t="shared" si="0"/>
        <v>1.4E-3</v>
      </c>
      <c r="G34" s="367"/>
      <c r="H34" s="367"/>
    </row>
    <row r="35" spans="1:8" hidden="1" outlineLevel="1">
      <c r="A35" s="164"/>
      <c r="B35" s="165"/>
      <c r="C35" s="165"/>
      <c r="D35" s="166"/>
      <c r="E35" s="165"/>
      <c r="F35" s="167"/>
      <c r="G35" s="167"/>
      <c r="H35" s="167"/>
    </row>
    <row r="36" spans="1:8" hidden="1" outlineLevel="1">
      <c r="A36" s="164" t="s">
        <v>245</v>
      </c>
      <c r="B36" s="373" t="s">
        <v>240</v>
      </c>
      <c r="C36" s="165" t="s">
        <v>315</v>
      </c>
      <c r="D36" s="166">
        <v>-3.51</v>
      </c>
      <c r="E36" s="165">
        <v>0.1</v>
      </c>
      <c r="F36" s="167">
        <f t="shared" si="0"/>
        <v>1E-4</v>
      </c>
      <c r="G36" s="368">
        <f>+D36*F36+D37*F37</f>
        <v>-3.19E-4</v>
      </c>
      <c r="H36" s="368"/>
    </row>
    <row r="37" spans="1:8" hidden="1" outlineLevel="1">
      <c r="A37" s="164" t="s">
        <v>245</v>
      </c>
      <c r="B37" s="373"/>
      <c r="C37" s="165" t="s">
        <v>225</v>
      </c>
      <c r="D37" s="166">
        <v>0.32</v>
      </c>
      <c r="E37" s="165">
        <v>0.1</v>
      </c>
      <c r="F37" s="167">
        <f t="shared" si="0"/>
        <v>1E-4</v>
      </c>
      <c r="G37" s="368"/>
      <c r="H37" s="368"/>
    </row>
    <row r="38" spans="1:8" hidden="1" outlineLevel="1">
      <c r="A38" s="164"/>
      <c r="B38" s="165"/>
      <c r="C38" s="165"/>
      <c r="D38" s="166"/>
      <c r="E38" s="165"/>
      <c r="F38" s="167"/>
      <c r="G38" s="167"/>
      <c r="H38" s="167"/>
    </row>
    <row r="39" spans="1:8" hidden="1" outlineLevel="1">
      <c r="A39" s="168" t="s">
        <v>245</v>
      </c>
      <c r="B39" s="369" t="s">
        <v>242</v>
      </c>
      <c r="C39" s="169" t="s">
        <v>315</v>
      </c>
      <c r="D39" s="170">
        <v>-3.51</v>
      </c>
      <c r="E39" s="169">
        <v>1.2</v>
      </c>
      <c r="F39" s="171">
        <f t="shared" si="0"/>
        <v>1.1999999999999999E-3</v>
      </c>
      <c r="G39" s="367">
        <f>+D40*F40</f>
        <v>3.8399999999999996E-4</v>
      </c>
      <c r="H39" s="367">
        <f>+D39*F39</f>
        <v>-4.2119999999999996E-3</v>
      </c>
    </row>
    <row r="40" spans="1:8" hidden="1" outlineLevel="1">
      <c r="A40" s="168" t="s">
        <v>245</v>
      </c>
      <c r="B40" s="369"/>
      <c r="C40" s="169" t="s">
        <v>225</v>
      </c>
      <c r="D40" s="170">
        <v>0.32</v>
      </c>
      <c r="E40" s="169">
        <v>1.2</v>
      </c>
      <c r="F40" s="171">
        <f t="shared" si="0"/>
        <v>1.1999999999999999E-3</v>
      </c>
      <c r="G40" s="367"/>
      <c r="H40" s="367"/>
    </row>
    <row r="41" spans="1:8" hidden="1" outlineLevel="1">
      <c r="A41" s="164"/>
      <c r="B41" s="165"/>
      <c r="C41" s="165"/>
      <c r="D41" s="166"/>
      <c r="E41" s="165"/>
      <c r="F41" s="167"/>
      <c r="G41" s="167"/>
      <c r="H41" s="167"/>
    </row>
    <row r="42" spans="1:8" hidden="1" outlineLevel="1">
      <c r="A42" s="164" t="s">
        <v>223</v>
      </c>
      <c r="B42" s="373" t="s">
        <v>240</v>
      </c>
      <c r="C42" s="165" t="s">
        <v>315</v>
      </c>
      <c r="D42" s="166">
        <v>-3.1</v>
      </c>
      <c r="E42" s="165">
        <v>11.2</v>
      </c>
      <c r="F42" s="167">
        <f t="shared" si="0"/>
        <v>1.12E-2</v>
      </c>
      <c r="G42" s="368">
        <f>+D42*F42+D43*F43</f>
        <v>-3.0464000000000001E-2</v>
      </c>
      <c r="H42" s="368"/>
    </row>
    <row r="43" spans="1:8" hidden="1" outlineLevel="1">
      <c r="A43" s="164" t="s">
        <v>223</v>
      </c>
      <c r="B43" s="373"/>
      <c r="C43" s="165" t="s">
        <v>225</v>
      </c>
      <c r="D43" s="166">
        <v>0.38</v>
      </c>
      <c r="E43" s="165">
        <v>11.2</v>
      </c>
      <c r="F43" s="167">
        <f t="shared" si="0"/>
        <v>1.12E-2</v>
      </c>
      <c r="G43" s="368"/>
      <c r="H43" s="368"/>
    </row>
    <row r="44" spans="1:8" hidden="1" outlineLevel="1">
      <c r="A44" s="164"/>
      <c r="B44" s="165"/>
      <c r="C44" s="165"/>
      <c r="D44" s="166"/>
      <c r="E44" s="165"/>
      <c r="F44" s="167"/>
      <c r="G44" s="167"/>
      <c r="H44" s="167"/>
    </row>
    <row r="45" spans="1:8" hidden="1" outlineLevel="1">
      <c r="A45" s="168" t="s">
        <v>223</v>
      </c>
      <c r="B45" s="369" t="s">
        <v>242</v>
      </c>
      <c r="C45" s="169" t="s">
        <v>315</v>
      </c>
      <c r="D45" s="170">
        <v>-3.1</v>
      </c>
      <c r="E45" s="169">
        <v>0</v>
      </c>
      <c r="F45" s="171">
        <f t="shared" si="0"/>
        <v>0</v>
      </c>
      <c r="G45" s="367">
        <f>+D46*F46</f>
        <v>0</v>
      </c>
      <c r="H45" s="367">
        <f>+D45*F45</f>
        <v>0</v>
      </c>
    </row>
    <row r="46" spans="1:8" hidden="1" outlineLevel="1">
      <c r="A46" s="168" t="s">
        <v>223</v>
      </c>
      <c r="B46" s="369"/>
      <c r="C46" s="169" t="s">
        <v>225</v>
      </c>
      <c r="D46" s="170">
        <v>0.38</v>
      </c>
      <c r="E46" s="169">
        <v>0</v>
      </c>
      <c r="F46" s="171">
        <f t="shared" si="0"/>
        <v>0</v>
      </c>
      <c r="G46" s="367"/>
      <c r="H46" s="367"/>
    </row>
    <row r="47" spans="1:8" hidden="1" outlineLevel="1">
      <c r="A47" s="164"/>
      <c r="B47" s="165"/>
      <c r="C47" s="165"/>
      <c r="D47" s="166"/>
      <c r="E47" s="165"/>
      <c r="F47" s="172"/>
      <c r="G47" s="172"/>
      <c r="H47" s="167"/>
    </row>
    <row r="48" spans="1:8" hidden="1" outlineLevel="1">
      <c r="A48" s="168" t="s">
        <v>352</v>
      </c>
      <c r="B48" s="369" t="s">
        <v>242</v>
      </c>
      <c r="C48" s="169" t="s">
        <v>314</v>
      </c>
      <c r="D48" s="170">
        <v>-0.2</v>
      </c>
      <c r="E48" s="169">
        <v>28.3</v>
      </c>
      <c r="F48" s="171">
        <f t="shared" si="0"/>
        <v>2.8300000000000002E-2</v>
      </c>
      <c r="G48" s="379">
        <f>+D49*F49</f>
        <v>3.1130000000000003E-3</v>
      </c>
      <c r="H48" s="367">
        <f>+D48*F48</f>
        <v>-5.660000000000001E-3</v>
      </c>
    </row>
    <row r="49" spans="1:8" ht="13" hidden="1" outlineLevel="1" thickBot="1">
      <c r="A49" s="173" t="s">
        <v>352</v>
      </c>
      <c r="B49" s="371"/>
      <c r="C49" s="174" t="s">
        <v>225</v>
      </c>
      <c r="D49" s="175">
        <v>0.11</v>
      </c>
      <c r="E49" s="174">
        <v>28.3</v>
      </c>
      <c r="F49" s="176">
        <f t="shared" si="0"/>
        <v>2.8300000000000002E-2</v>
      </c>
      <c r="G49" s="380"/>
      <c r="H49" s="374"/>
    </row>
    <row r="50" spans="1:8" hidden="1" outlineLevel="1"/>
    <row r="51" spans="1:8" hidden="1" outlineLevel="1"/>
    <row r="52" spans="1:8" collapsed="1">
      <c r="A52" s="177" t="s">
        <v>399</v>
      </c>
      <c r="B52" s="491">
        <f>SUM(E12+E15+E18+E21+E24+E27+E30+E33+E36+E39+E42+E45+E48)</f>
        <v>114.60000000000001</v>
      </c>
    </row>
    <row r="53" spans="1:8">
      <c r="A53" s="178" t="s">
        <v>353</v>
      </c>
      <c r="B53" s="492">
        <f>G12+G15+G18+G21+G24+G27+G30+G33+G36+G39+G42+G45+G48</f>
        <v>8.0189999999999984E-3</v>
      </c>
    </row>
    <row r="54" spans="1:8">
      <c r="A54" s="178" t="s">
        <v>354</v>
      </c>
      <c r="B54" s="493">
        <f>SUM(H15+H21+H27+H33+H39+H45+H48)</f>
        <v>-4.2448E-2</v>
      </c>
    </row>
    <row r="55" spans="1:8">
      <c r="A55" s="179" t="s">
        <v>628</v>
      </c>
      <c r="B55" s="180"/>
      <c r="C55" s="181"/>
      <c r="D55" s="488">
        <f>+B52*242/1000</f>
        <v>27.7332</v>
      </c>
    </row>
    <row r="56" spans="1:8">
      <c r="A56" s="358" t="s">
        <v>511</v>
      </c>
      <c r="B56" s="359"/>
      <c r="C56" s="359"/>
      <c r="D56" s="489">
        <f>B53*242</f>
        <v>1.9405979999999996</v>
      </c>
    </row>
    <row r="57" spans="1:8">
      <c r="A57" s="377" t="s">
        <v>374</v>
      </c>
      <c r="B57" s="378"/>
      <c r="C57" s="378"/>
      <c r="D57" s="490">
        <f>B54*242</f>
        <v>-10.272416</v>
      </c>
      <c r="E57" s="183"/>
    </row>
    <row r="61" spans="1:8">
      <c r="A61" s="117" t="s">
        <v>355</v>
      </c>
    </row>
    <row r="62" spans="1:8" s="159" customFormat="1" ht="25" hidden="1" outlineLevel="1" thickBot="1">
      <c r="A62" s="153" t="s">
        <v>544</v>
      </c>
      <c r="B62" s="154" t="s">
        <v>545</v>
      </c>
      <c r="C62" s="154" t="s">
        <v>546</v>
      </c>
      <c r="D62" s="155" t="s">
        <v>547</v>
      </c>
      <c r="E62" s="156" t="s">
        <v>509</v>
      </c>
      <c r="F62" s="157" t="s">
        <v>510</v>
      </c>
      <c r="G62" s="158" t="s">
        <v>548</v>
      </c>
      <c r="H62" s="158" t="s">
        <v>558</v>
      </c>
    </row>
    <row r="63" spans="1:8" hidden="1" outlineLevel="1">
      <c r="A63" s="160" t="s">
        <v>431</v>
      </c>
      <c r="B63" s="375" t="s">
        <v>432</v>
      </c>
      <c r="C63" s="161" t="s">
        <v>194</v>
      </c>
      <c r="D63" s="162">
        <v>-0.2</v>
      </c>
      <c r="E63" s="161">
        <v>200</v>
      </c>
      <c r="F63" s="163">
        <f>+E63/1000</f>
        <v>0.2</v>
      </c>
      <c r="G63" s="365">
        <f>+D63*F63+D64*F64</f>
        <v>0.10199999999999998</v>
      </c>
      <c r="H63" s="366"/>
    </row>
    <row r="64" spans="1:8" hidden="1" outlineLevel="1">
      <c r="A64" s="164" t="s">
        <v>431</v>
      </c>
      <c r="B64" s="373"/>
      <c r="C64" s="165" t="s">
        <v>236</v>
      </c>
      <c r="D64" s="166">
        <v>0.71</v>
      </c>
      <c r="E64" s="165">
        <v>200</v>
      </c>
      <c r="F64" s="167">
        <f>+E64/1000</f>
        <v>0.2</v>
      </c>
      <c r="G64" s="366"/>
      <c r="H64" s="368"/>
    </row>
    <row r="65" spans="1:8" hidden="1" outlineLevel="1">
      <c r="A65" s="164"/>
      <c r="B65" s="165"/>
      <c r="C65" s="165"/>
      <c r="D65" s="166"/>
      <c r="E65" s="165"/>
      <c r="F65" s="167"/>
      <c r="G65" s="167"/>
      <c r="H65" s="167"/>
    </row>
    <row r="66" spans="1:8" hidden="1" outlineLevel="1">
      <c r="A66" s="168" t="s">
        <v>431</v>
      </c>
      <c r="B66" s="369" t="s">
        <v>237</v>
      </c>
      <c r="C66" s="169" t="s">
        <v>194</v>
      </c>
      <c r="D66" s="170">
        <v>-0.2</v>
      </c>
      <c r="E66" s="169">
        <v>147.6</v>
      </c>
      <c r="F66" s="171">
        <f t="shared" ref="F66:F67" si="1">+E66/1000</f>
        <v>0.14759999999999998</v>
      </c>
      <c r="G66" s="367">
        <f>+D67*F67</f>
        <v>0.10479599999999999</v>
      </c>
      <c r="H66" s="367">
        <f>+D66*F66</f>
        <v>-2.9519999999999998E-2</v>
      </c>
    </row>
    <row r="67" spans="1:8" hidden="1" outlineLevel="1">
      <c r="A67" s="168" t="s">
        <v>431</v>
      </c>
      <c r="B67" s="369"/>
      <c r="C67" s="169" t="s">
        <v>236</v>
      </c>
      <c r="D67" s="170">
        <v>0.71</v>
      </c>
      <c r="E67" s="169">
        <v>147.6</v>
      </c>
      <c r="F67" s="171">
        <f t="shared" si="1"/>
        <v>0.14759999999999998</v>
      </c>
      <c r="G67" s="367"/>
      <c r="H67" s="367"/>
    </row>
    <row r="68" spans="1:8" hidden="1" outlineLevel="1">
      <c r="A68" s="164"/>
      <c r="B68" s="165"/>
      <c r="C68" s="165"/>
      <c r="D68" s="166"/>
      <c r="E68" s="165"/>
      <c r="F68" s="167"/>
      <c r="G68" s="167"/>
      <c r="H68" s="167"/>
    </row>
    <row r="69" spans="1:8" hidden="1" outlineLevel="1">
      <c r="A69" s="164" t="s">
        <v>239</v>
      </c>
      <c r="B69" s="373" t="s">
        <v>356</v>
      </c>
      <c r="C69" s="165" t="s">
        <v>357</v>
      </c>
      <c r="D69" s="166">
        <v>-5.41</v>
      </c>
      <c r="E69" s="165">
        <v>0.69</v>
      </c>
      <c r="F69" s="167">
        <f t="shared" ref="F69:F70" si="2">+E69/1000</f>
        <v>6.8999999999999997E-4</v>
      </c>
      <c r="G69" s="368">
        <f>+D69*F69+D70*F70</f>
        <v>-3.7052999999999999E-3</v>
      </c>
      <c r="H69" s="368"/>
    </row>
    <row r="70" spans="1:8" hidden="1" outlineLevel="1">
      <c r="A70" s="164" t="s">
        <v>241</v>
      </c>
      <c r="B70" s="373"/>
      <c r="C70" s="165" t="s">
        <v>225</v>
      </c>
      <c r="D70" s="166">
        <v>0.04</v>
      </c>
      <c r="E70" s="165">
        <v>0.69</v>
      </c>
      <c r="F70" s="167">
        <f t="shared" si="2"/>
        <v>6.8999999999999997E-4</v>
      </c>
      <c r="G70" s="368"/>
      <c r="H70" s="368"/>
    </row>
    <row r="71" spans="1:8" hidden="1" outlineLevel="1">
      <c r="A71" s="164"/>
      <c r="B71" s="165"/>
      <c r="C71" s="165"/>
      <c r="D71" s="166"/>
      <c r="E71" s="165"/>
      <c r="F71" s="167"/>
      <c r="G71" s="167"/>
      <c r="H71" s="167"/>
    </row>
    <row r="72" spans="1:8" hidden="1" outlineLevel="1">
      <c r="A72" s="168" t="s">
        <v>241</v>
      </c>
      <c r="B72" s="369" t="s">
        <v>242</v>
      </c>
      <c r="C72" s="169" t="s">
        <v>315</v>
      </c>
      <c r="D72" s="170">
        <v>-5.41</v>
      </c>
      <c r="E72" s="169">
        <v>0.3</v>
      </c>
      <c r="F72" s="171">
        <f t="shared" ref="F72:F73" si="3">+E72/1000</f>
        <v>2.9999999999999997E-4</v>
      </c>
      <c r="G72" s="367">
        <f>+D73*F73</f>
        <v>1.1999999999999999E-5</v>
      </c>
      <c r="H72" s="367">
        <f>+D72*F72</f>
        <v>-1.6229999999999999E-3</v>
      </c>
    </row>
    <row r="73" spans="1:8" hidden="1" outlineLevel="1">
      <c r="A73" s="168" t="s">
        <v>241</v>
      </c>
      <c r="B73" s="369"/>
      <c r="C73" s="169" t="s">
        <v>225</v>
      </c>
      <c r="D73" s="170">
        <v>0.04</v>
      </c>
      <c r="E73" s="169">
        <v>0.3</v>
      </c>
      <c r="F73" s="171">
        <f t="shared" si="3"/>
        <v>2.9999999999999997E-4</v>
      </c>
      <c r="G73" s="367"/>
      <c r="H73" s="367"/>
    </row>
    <row r="74" spans="1:8" hidden="1" outlineLevel="1">
      <c r="A74" s="164"/>
      <c r="B74" s="165"/>
      <c r="C74" s="165"/>
      <c r="D74" s="166"/>
      <c r="E74" s="165"/>
      <c r="F74" s="167"/>
      <c r="G74" s="167"/>
      <c r="H74" s="167"/>
    </row>
    <row r="75" spans="1:8" hidden="1" outlineLevel="1">
      <c r="A75" s="164" t="s">
        <v>243</v>
      </c>
      <c r="B75" s="373" t="s">
        <v>240</v>
      </c>
      <c r="C75" s="165" t="s">
        <v>315</v>
      </c>
      <c r="D75" s="166">
        <v>-0.28000000000000003</v>
      </c>
      <c r="E75" s="165">
        <v>2.6</v>
      </c>
      <c r="F75" s="167">
        <f t="shared" ref="F75:F76" si="4">+E75/1000</f>
        <v>2.5999999999999999E-3</v>
      </c>
      <c r="G75" s="368">
        <f>+D75*F75+D76*F76</f>
        <v>-6.2399999999999999E-4</v>
      </c>
      <c r="H75" s="368"/>
    </row>
    <row r="76" spans="1:8" hidden="1" outlineLevel="1">
      <c r="A76" s="164" t="s">
        <v>243</v>
      </c>
      <c r="B76" s="373"/>
      <c r="C76" s="165" t="s">
        <v>225</v>
      </c>
      <c r="D76" s="166">
        <v>0.04</v>
      </c>
      <c r="E76" s="165">
        <v>2.6</v>
      </c>
      <c r="F76" s="167">
        <f t="shared" si="4"/>
        <v>2.5999999999999999E-3</v>
      </c>
      <c r="G76" s="368"/>
      <c r="H76" s="368"/>
    </row>
    <row r="77" spans="1:8" hidden="1" outlineLevel="1">
      <c r="A77" s="164"/>
      <c r="B77" s="165"/>
      <c r="C77" s="165"/>
      <c r="D77" s="166"/>
      <c r="E77" s="165"/>
      <c r="F77" s="167"/>
      <c r="G77" s="167"/>
      <c r="H77" s="167"/>
    </row>
    <row r="78" spans="1:8" hidden="1" outlineLevel="1">
      <c r="A78" s="168" t="s">
        <v>243</v>
      </c>
      <c r="B78" s="369" t="s">
        <v>242</v>
      </c>
      <c r="C78" s="169" t="s">
        <v>315</v>
      </c>
      <c r="D78" s="170">
        <v>-0.28000000000000003</v>
      </c>
      <c r="E78" s="169">
        <v>0.2</v>
      </c>
      <c r="F78" s="171">
        <f t="shared" ref="F78:F79" si="5">+E78/1000</f>
        <v>2.0000000000000001E-4</v>
      </c>
      <c r="G78" s="367">
        <f>+D79*F79</f>
        <v>8.0000000000000013E-6</v>
      </c>
      <c r="H78" s="367">
        <f>+D78*F78</f>
        <v>-5.6000000000000006E-5</v>
      </c>
    </row>
    <row r="79" spans="1:8" hidden="1" outlineLevel="1">
      <c r="A79" s="168" t="s">
        <v>243</v>
      </c>
      <c r="B79" s="369"/>
      <c r="C79" s="169" t="s">
        <v>225</v>
      </c>
      <c r="D79" s="170">
        <v>0.04</v>
      </c>
      <c r="E79" s="169">
        <v>0.2</v>
      </c>
      <c r="F79" s="171">
        <f t="shared" si="5"/>
        <v>2.0000000000000001E-4</v>
      </c>
      <c r="G79" s="367"/>
      <c r="H79" s="367"/>
    </row>
    <row r="80" spans="1:8" hidden="1" outlineLevel="1">
      <c r="A80" s="164"/>
      <c r="B80" s="165"/>
      <c r="C80" s="165"/>
      <c r="D80" s="166"/>
      <c r="E80" s="165"/>
      <c r="F80" s="167"/>
      <c r="G80" s="167"/>
      <c r="H80" s="167"/>
    </row>
    <row r="81" spans="1:8" hidden="1" outlineLevel="1">
      <c r="A81" s="164" t="s">
        <v>244</v>
      </c>
      <c r="B81" s="373" t="s">
        <v>240</v>
      </c>
      <c r="C81" s="165" t="s">
        <v>315</v>
      </c>
      <c r="D81" s="166">
        <v>-1.53</v>
      </c>
      <c r="E81" s="165">
        <v>3.61</v>
      </c>
      <c r="F81" s="167">
        <f t="shared" ref="F81:F82" si="6">+E81/1000</f>
        <v>3.6099999999999999E-3</v>
      </c>
      <c r="G81" s="368">
        <f>+D81*F81+D82*F82</f>
        <v>-5.3788999999999998E-3</v>
      </c>
      <c r="H81" s="368"/>
    </row>
    <row r="82" spans="1:8" hidden="1" outlineLevel="1">
      <c r="A82" s="164" t="s">
        <v>244</v>
      </c>
      <c r="B82" s="373"/>
      <c r="C82" s="165" t="s">
        <v>225</v>
      </c>
      <c r="D82" s="166">
        <v>0.04</v>
      </c>
      <c r="E82" s="165">
        <v>3.61</v>
      </c>
      <c r="F82" s="167">
        <f t="shared" si="6"/>
        <v>3.6099999999999999E-3</v>
      </c>
      <c r="G82" s="368"/>
      <c r="H82" s="368"/>
    </row>
    <row r="83" spans="1:8" hidden="1" outlineLevel="1">
      <c r="A83" s="164"/>
      <c r="B83" s="165"/>
      <c r="C83" s="165"/>
      <c r="D83" s="166"/>
      <c r="E83" s="165"/>
      <c r="F83" s="167"/>
      <c r="G83" s="167"/>
      <c r="H83" s="167"/>
    </row>
    <row r="84" spans="1:8" hidden="1" outlineLevel="1">
      <c r="A84" s="168" t="s">
        <v>244</v>
      </c>
      <c r="B84" s="369" t="s">
        <v>242</v>
      </c>
      <c r="C84" s="169" t="s">
        <v>315</v>
      </c>
      <c r="D84" s="170">
        <v>-1.53</v>
      </c>
      <c r="E84" s="169">
        <v>4.5999999999999996</v>
      </c>
      <c r="F84" s="171">
        <f t="shared" ref="F84:F85" si="7">+E84/1000</f>
        <v>4.5999999999999999E-3</v>
      </c>
      <c r="G84" s="367">
        <f>+D85*F85</f>
        <v>1.84E-4</v>
      </c>
      <c r="H84" s="367">
        <f>+D84*F84</f>
        <v>-7.038E-3</v>
      </c>
    </row>
    <row r="85" spans="1:8" hidden="1" outlineLevel="1">
      <c r="A85" s="168" t="s">
        <v>244</v>
      </c>
      <c r="B85" s="369"/>
      <c r="C85" s="169" t="s">
        <v>225</v>
      </c>
      <c r="D85" s="170">
        <v>0.04</v>
      </c>
      <c r="E85" s="169">
        <v>4.5999999999999996</v>
      </c>
      <c r="F85" s="171">
        <f t="shared" si="7"/>
        <v>4.5999999999999999E-3</v>
      </c>
      <c r="G85" s="367"/>
      <c r="H85" s="367"/>
    </row>
    <row r="86" spans="1:8" hidden="1" outlineLevel="1">
      <c r="A86" s="164"/>
      <c r="B86" s="165"/>
      <c r="C86" s="165"/>
      <c r="D86" s="166"/>
      <c r="E86" s="165"/>
      <c r="F86" s="167"/>
      <c r="G86" s="167"/>
      <c r="H86" s="167"/>
    </row>
    <row r="87" spans="1:8" hidden="1" outlineLevel="1">
      <c r="A87" s="164" t="s">
        <v>245</v>
      </c>
      <c r="B87" s="373" t="s">
        <v>240</v>
      </c>
      <c r="C87" s="165" t="s">
        <v>315</v>
      </c>
      <c r="D87" s="166">
        <v>-3.51</v>
      </c>
      <c r="E87" s="165">
        <v>0.9</v>
      </c>
      <c r="F87" s="167">
        <f t="shared" ref="F87:F88" si="8">+E87/1000</f>
        <v>8.9999999999999998E-4</v>
      </c>
      <c r="G87" s="368">
        <f>+D87*F87+D88*F88</f>
        <v>-2.8709999999999999E-3</v>
      </c>
      <c r="H87" s="368"/>
    </row>
    <row r="88" spans="1:8" hidden="1" outlineLevel="1">
      <c r="A88" s="164" t="s">
        <v>245</v>
      </c>
      <c r="B88" s="373"/>
      <c r="C88" s="165" t="s">
        <v>225</v>
      </c>
      <c r="D88" s="166">
        <v>0.32</v>
      </c>
      <c r="E88" s="165">
        <v>0.9</v>
      </c>
      <c r="F88" s="167">
        <f t="shared" si="8"/>
        <v>8.9999999999999998E-4</v>
      </c>
      <c r="G88" s="368"/>
      <c r="H88" s="368"/>
    </row>
    <row r="89" spans="1:8" hidden="1" outlineLevel="1">
      <c r="A89" s="164"/>
      <c r="B89" s="165"/>
      <c r="C89" s="165"/>
      <c r="D89" s="166"/>
      <c r="E89" s="165"/>
      <c r="F89" s="167"/>
      <c r="G89" s="167"/>
      <c r="H89" s="167"/>
    </row>
    <row r="90" spans="1:8" hidden="1" outlineLevel="1">
      <c r="A90" s="168" t="s">
        <v>245</v>
      </c>
      <c r="B90" s="369" t="s">
        <v>242</v>
      </c>
      <c r="C90" s="169" t="s">
        <v>315</v>
      </c>
      <c r="D90" s="170">
        <v>-3.51</v>
      </c>
      <c r="E90" s="169">
        <v>4.2</v>
      </c>
      <c r="F90" s="171">
        <f t="shared" ref="F90:F91" si="9">+E90/1000</f>
        <v>4.2000000000000006E-3</v>
      </c>
      <c r="G90" s="367">
        <f>+D91*F91</f>
        <v>1.3440000000000001E-3</v>
      </c>
      <c r="H90" s="367">
        <f>+D90*F90</f>
        <v>-1.4742000000000002E-2</v>
      </c>
    </row>
    <row r="91" spans="1:8" hidden="1" outlineLevel="1">
      <c r="A91" s="168" t="s">
        <v>245</v>
      </c>
      <c r="B91" s="369"/>
      <c r="C91" s="169" t="s">
        <v>225</v>
      </c>
      <c r="D91" s="170">
        <v>0.32</v>
      </c>
      <c r="E91" s="169">
        <v>4.2</v>
      </c>
      <c r="F91" s="171">
        <f t="shared" si="9"/>
        <v>4.2000000000000006E-3</v>
      </c>
      <c r="G91" s="367"/>
      <c r="H91" s="367"/>
    </row>
    <row r="92" spans="1:8" hidden="1" outlineLevel="1">
      <c r="A92" s="164"/>
      <c r="B92" s="165"/>
      <c r="C92" s="165"/>
      <c r="D92" s="166"/>
      <c r="E92" s="165"/>
      <c r="F92" s="167"/>
      <c r="G92" s="167"/>
      <c r="H92" s="167"/>
    </row>
    <row r="93" spans="1:8" hidden="1" outlineLevel="1">
      <c r="A93" s="164" t="s">
        <v>223</v>
      </c>
      <c r="B93" s="373" t="s">
        <v>240</v>
      </c>
      <c r="C93" s="165" t="s">
        <v>315</v>
      </c>
      <c r="D93" s="166">
        <v>-3.1</v>
      </c>
      <c r="E93" s="165">
        <v>56</v>
      </c>
      <c r="F93" s="167">
        <f t="shared" ref="F93:F94" si="10">+E93/1000</f>
        <v>5.6000000000000001E-2</v>
      </c>
      <c r="G93" s="368">
        <f>+D93*F93+D94*F94</f>
        <v>-0.15232000000000001</v>
      </c>
      <c r="H93" s="368"/>
    </row>
    <row r="94" spans="1:8" hidden="1" outlineLevel="1">
      <c r="A94" s="164" t="s">
        <v>223</v>
      </c>
      <c r="B94" s="373"/>
      <c r="C94" s="165" t="s">
        <v>225</v>
      </c>
      <c r="D94" s="166">
        <v>0.38</v>
      </c>
      <c r="E94" s="165">
        <v>56</v>
      </c>
      <c r="F94" s="167">
        <f t="shared" si="10"/>
        <v>5.6000000000000001E-2</v>
      </c>
      <c r="G94" s="368"/>
      <c r="H94" s="368"/>
    </row>
    <row r="95" spans="1:8" hidden="1" outlineLevel="1">
      <c r="A95" s="164"/>
      <c r="B95" s="165"/>
      <c r="C95" s="165"/>
      <c r="D95" s="166"/>
      <c r="E95" s="165"/>
      <c r="F95" s="167"/>
      <c r="G95" s="167"/>
      <c r="H95" s="167"/>
    </row>
    <row r="96" spans="1:8" hidden="1" outlineLevel="1">
      <c r="A96" s="168" t="s">
        <v>223</v>
      </c>
      <c r="B96" s="369" t="s">
        <v>242</v>
      </c>
      <c r="C96" s="169" t="s">
        <v>315</v>
      </c>
      <c r="D96" s="170">
        <v>-3.1</v>
      </c>
      <c r="E96" s="169">
        <v>0</v>
      </c>
      <c r="F96" s="171">
        <f t="shared" ref="F96:F97" si="11">+E96/1000</f>
        <v>0</v>
      </c>
      <c r="G96" s="367">
        <f>+D97*F97</f>
        <v>0</v>
      </c>
      <c r="H96" s="367">
        <f>+D96*F96</f>
        <v>0</v>
      </c>
    </row>
    <row r="97" spans="1:8" hidden="1" outlineLevel="1">
      <c r="A97" s="168" t="s">
        <v>223</v>
      </c>
      <c r="B97" s="369"/>
      <c r="C97" s="169" t="s">
        <v>225</v>
      </c>
      <c r="D97" s="170">
        <v>0.38</v>
      </c>
      <c r="E97" s="169">
        <v>0</v>
      </c>
      <c r="F97" s="171">
        <f t="shared" si="11"/>
        <v>0</v>
      </c>
      <c r="G97" s="367"/>
      <c r="H97" s="367"/>
    </row>
    <row r="98" spans="1:8" hidden="1" outlineLevel="1">
      <c r="A98" s="164"/>
      <c r="B98" s="165"/>
      <c r="C98" s="165"/>
      <c r="D98" s="166"/>
      <c r="E98" s="165"/>
      <c r="F98" s="172"/>
      <c r="G98" s="172"/>
      <c r="H98" s="167"/>
    </row>
    <row r="99" spans="1:8" hidden="1" outlineLevel="1">
      <c r="A99" s="168" t="s">
        <v>352</v>
      </c>
      <c r="B99" s="369" t="s">
        <v>242</v>
      </c>
      <c r="C99" s="169" t="s">
        <v>314</v>
      </c>
      <c r="D99" s="170">
        <v>-0.2</v>
      </c>
      <c r="E99" s="169">
        <v>19.899999999999999</v>
      </c>
      <c r="F99" s="171">
        <f t="shared" ref="F99:F100" si="12">+E99/1000</f>
        <v>1.9899999999999998E-2</v>
      </c>
      <c r="G99" s="367">
        <f>+D100*F100</f>
        <v>2.1889999999999995E-3</v>
      </c>
      <c r="H99" s="367">
        <f>+D99*F99</f>
        <v>-3.98E-3</v>
      </c>
    </row>
    <row r="100" spans="1:8" ht="13" hidden="1" outlineLevel="1" thickBot="1">
      <c r="A100" s="173" t="s">
        <v>352</v>
      </c>
      <c r="B100" s="371"/>
      <c r="C100" s="174" t="s">
        <v>225</v>
      </c>
      <c r="D100" s="175">
        <v>0.11</v>
      </c>
      <c r="E100" s="174">
        <v>19.899999999999999</v>
      </c>
      <c r="F100" s="176">
        <f t="shared" si="12"/>
        <v>1.9899999999999998E-2</v>
      </c>
      <c r="G100" s="374"/>
      <c r="H100" s="374"/>
    </row>
    <row r="101" spans="1:8" hidden="1" outlineLevel="1"/>
    <row r="102" spans="1:8" hidden="1" outlineLevel="1"/>
    <row r="103" spans="1:8" collapsed="1">
      <c r="A103" s="177" t="s">
        <v>399</v>
      </c>
      <c r="B103" s="491">
        <f>SUM(E63+E66+E69+E72+E75+E78+E81+E84+E87+E90+E93+E96+E99)</f>
        <v>440.6</v>
      </c>
    </row>
    <row r="104" spans="1:8">
      <c r="A104" s="178" t="s">
        <v>316</v>
      </c>
      <c r="B104" s="493">
        <f>G63+G66+G69+G72+G75+G78+G81+G84+G87+G90+G93+G96+G99</f>
        <v>4.5633799999999974E-2</v>
      </c>
    </row>
    <row r="105" spans="1:8">
      <c r="A105" s="184" t="s">
        <v>557</v>
      </c>
      <c r="B105" s="493">
        <f>SUM(H66+H72+H78+H84+H90+H96+H99)</f>
        <v>-5.6958999999999996E-2</v>
      </c>
    </row>
    <row r="106" spans="1:8">
      <c r="A106" s="179" t="s">
        <v>628</v>
      </c>
      <c r="B106" s="180"/>
      <c r="C106" s="181"/>
      <c r="D106" s="488">
        <f>+B103*242/1000</f>
        <v>106.62520000000001</v>
      </c>
    </row>
    <row r="107" spans="1:8">
      <c r="A107" s="358" t="s">
        <v>494</v>
      </c>
      <c r="B107" s="359"/>
      <c r="C107" s="359"/>
      <c r="D107" s="489">
        <f>B104*242</f>
        <v>11.043379599999994</v>
      </c>
    </row>
    <row r="108" spans="1:8">
      <c r="A108" s="360" t="s">
        <v>491</v>
      </c>
      <c r="B108" s="361"/>
      <c r="C108" s="361"/>
      <c r="D108" s="490">
        <f>B105*242</f>
        <v>-13.784077999999999</v>
      </c>
    </row>
    <row r="112" spans="1:8">
      <c r="A112" s="117" t="s">
        <v>495</v>
      </c>
    </row>
    <row r="113" spans="1:8" s="159" customFormat="1" ht="25" hidden="1" outlineLevel="1" thickBot="1">
      <c r="A113" s="153" t="s">
        <v>544</v>
      </c>
      <c r="B113" s="154" t="s">
        <v>545</v>
      </c>
      <c r="C113" s="154" t="s">
        <v>546</v>
      </c>
      <c r="D113" s="155" t="s">
        <v>547</v>
      </c>
      <c r="E113" s="156" t="s">
        <v>509</v>
      </c>
      <c r="F113" s="157" t="s">
        <v>510</v>
      </c>
      <c r="G113" s="158" t="s">
        <v>548</v>
      </c>
      <c r="H113" s="158" t="s">
        <v>558</v>
      </c>
    </row>
    <row r="114" spans="1:8" hidden="1" outlineLevel="1">
      <c r="A114" s="185" t="s">
        <v>431</v>
      </c>
      <c r="B114" s="376" t="s">
        <v>432</v>
      </c>
      <c r="C114" s="186" t="s">
        <v>194</v>
      </c>
      <c r="D114" s="187">
        <v>-0.2</v>
      </c>
      <c r="E114" s="186">
        <v>118.8</v>
      </c>
      <c r="F114" s="188">
        <f t="shared" ref="F114:F115" si="13">+E114/1000</f>
        <v>0.1188</v>
      </c>
      <c r="G114" s="370">
        <f>+D114*F114+D115*F115</f>
        <v>6.0587999999999989E-2</v>
      </c>
      <c r="H114" s="370"/>
    </row>
    <row r="115" spans="1:8" hidden="1" outlineLevel="1">
      <c r="A115" s="164" t="s">
        <v>431</v>
      </c>
      <c r="B115" s="373"/>
      <c r="C115" s="165" t="s">
        <v>236</v>
      </c>
      <c r="D115" s="166">
        <v>0.71</v>
      </c>
      <c r="E115" s="165">
        <v>118.8</v>
      </c>
      <c r="F115" s="167">
        <f t="shared" si="13"/>
        <v>0.1188</v>
      </c>
      <c r="G115" s="368"/>
      <c r="H115" s="368"/>
    </row>
    <row r="116" spans="1:8" hidden="1" outlineLevel="1">
      <c r="A116" s="164"/>
      <c r="B116" s="165"/>
      <c r="C116" s="165"/>
      <c r="D116" s="166"/>
      <c r="E116" s="165"/>
      <c r="F116" s="167"/>
      <c r="G116" s="167"/>
      <c r="H116" s="167"/>
    </row>
    <row r="117" spans="1:8" hidden="1" outlineLevel="1">
      <c r="A117" s="168" t="s">
        <v>431</v>
      </c>
      <c r="B117" s="369" t="s">
        <v>237</v>
      </c>
      <c r="C117" s="169" t="s">
        <v>194</v>
      </c>
      <c r="D117" s="170">
        <v>-0.2</v>
      </c>
      <c r="E117" s="169">
        <v>204.6</v>
      </c>
      <c r="F117" s="171">
        <f t="shared" ref="F117:F118" si="14">+E117/1000</f>
        <v>0.2046</v>
      </c>
      <c r="G117" s="367">
        <f>+D118*F118</f>
        <v>0.14526600000000001</v>
      </c>
      <c r="H117" s="367">
        <f>+D117*F117</f>
        <v>-4.0920000000000005E-2</v>
      </c>
    </row>
    <row r="118" spans="1:8" hidden="1" outlineLevel="1">
      <c r="A118" s="168" t="s">
        <v>431</v>
      </c>
      <c r="B118" s="369"/>
      <c r="C118" s="169" t="s">
        <v>236</v>
      </c>
      <c r="D118" s="170">
        <v>0.71</v>
      </c>
      <c r="E118" s="169">
        <v>204.6</v>
      </c>
      <c r="F118" s="171">
        <f t="shared" si="14"/>
        <v>0.2046</v>
      </c>
      <c r="G118" s="367"/>
      <c r="H118" s="367"/>
    </row>
    <row r="119" spans="1:8" hidden="1" outlineLevel="1">
      <c r="A119" s="164"/>
      <c r="B119" s="165"/>
      <c r="C119" s="165"/>
      <c r="D119" s="166"/>
      <c r="E119" s="165"/>
      <c r="F119" s="167"/>
      <c r="G119" s="167"/>
      <c r="H119" s="167"/>
    </row>
    <row r="120" spans="1:8" hidden="1" outlineLevel="1">
      <c r="A120" s="164" t="s">
        <v>239</v>
      </c>
      <c r="B120" s="373" t="s">
        <v>356</v>
      </c>
      <c r="C120" s="165" t="s">
        <v>357</v>
      </c>
      <c r="D120" s="166">
        <v>-5.41</v>
      </c>
      <c r="E120" s="165">
        <v>0</v>
      </c>
      <c r="F120" s="167">
        <f t="shared" ref="F120:F121" si="15">+E120/1000</f>
        <v>0</v>
      </c>
      <c r="G120" s="368">
        <f>+D120*F120+D121*F121</f>
        <v>0</v>
      </c>
      <c r="H120" s="368"/>
    </row>
    <row r="121" spans="1:8" hidden="1" outlineLevel="1">
      <c r="A121" s="164" t="s">
        <v>239</v>
      </c>
      <c r="B121" s="373"/>
      <c r="C121" s="165" t="s">
        <v>236</v>
      </c>
      <c r="D121" s="166">
        <v>0.04</v>
      </c>
      <c r="E121" s="165">
        <v>0</v>
      </c>
      <c r="F121" s="167">
        <f t="shared" si="15"/>
        <v>0</v>
      </c>
      <c r="G121" s="368"/>
      <c r="H121" s="368"/>
    </row>
    <row r="122" spans="1:8" hidden="1" outlineLevel="1">
      <c r="A122" s="164"/>
      <c r="B122" s="165"/>
      <c r="C122" s="165"/>
      <c r="D122" s="166"/>
      <c r="E122" s="165"/>
      <c r="F122" s="167"/>
      <c r="G122" s="167"/>
      <c r="H122" s="167"/>
    </row>
    <row r="123" spans="1:8" hidden="1" outlineLevel="1">
      <c r="A123" s="168" t="s">
        <v>239</v>
      </c>
      <c r="B123" s="369" t="s">
        <v>237</v>
      </c>
      <c r="C123" s="169" t="s">
        <v>357</v>
      </c>
      <c r="D123" s="170">
        <v>-5.41</v>
      </c>
      <c r="E123" s="169">
        <v>4.4000000000000004</v>
      </c>
      <c r="F123" s="171">
        <f t="shared" ref="F123:F124" si="16">+E123/1000</f>
        <v>4.4000000000000003E-3</v>
      </c>
      <c r="G123" s="367">
        <f>+D124*F124</f>
        <v>1.7600000000000002E-4</v>
      </c>
      <c r="H123" s="367">
        <f>+D123*F123</f>
        <v>-2.3804000000000002E-2</v>
      </c>
    </row>
    <row r="124" spans="1:8" hidden="1" outlineLevel="1">
      <c r="A124" s="168" t="s">
        <v>239</v>
      </c>
      <c r="B124" s="369"/>
      <c r="C124" s="169" t="s">
        <v>236</v>
      </c>
      <c r="D124" s="170">
        <v>0.04</v>
      </c>
      <c r="E124" s="169">
        <v>4.4000000000000004</v>
      </c>
      <c r="F124" s="171">
        <f t="shared" si="16"/>
        <v>4.4000000000000003E-3</v>
      </c>
      <c r="G124" s="367"/>
      <c r="H124" s="367"/>
    </row>
    <row r="125" spans="1:8" hidden="1" outlineLevel="1">
      <c r="A125" s="164"/>
      <c r="B125" s="165"/>
      <c r="C125" s="165"/>
      <c r="D125" s="166"/>
      <c r="E125" s="165"/>
      <c r="F125" s="167"/>
      <c r="G125" s="167"/>
      <c r="H125" s="167"/>
    </row>
    <row r="126" spans="1:8" hidden="1" outlineLevel="1">
      <c r="A126" s="164" t="s">
        <v>496</v>
      </c>
      <c r="B126" s="373" t="s">
        <v>356</v>
      </c>
      <c r="C126" s="165" t="s">
        <v>357</v>
      </c>
      <c r="D126" s="166">
        <v>-0.28000000000000003</v>
      </c>
      <c r="E126" s="165">
        <v>3</v>
      </c>
      <c r="F126" s="167">
        <f t="shared" ref="F126:F127" si="17">+E126/1000</f>
        <v>3.0000000000000001E-3</v>
      </c>
      <c r="G126" s="368">
        <f>+D126*F126+D127*F127</f>
        <v>-7.2000000000000015E-4</v>
      </c>
      <c r="H126" s="368"/>
    </row>
    <row r="127" spans="1:8" hidden="1" outlineLevel="1">
      <c r="A127" s="164" t="s">
        <v>496</v>
      </c>
      <c r="B127" s="373"/>
      <c r="C127" s="165" t="s">
        <v>236</v>
      </c>
      <c r="D127" s="166">
        <v>0.04</v>
      </c>
      <c r="E127" s="165">
        <v>3</v>
      </c>
      <c r="F127" s="167">
        <f t="shared" si="17"/>
        <v>3.0000000000000001E-3</v>
      </c>
      <c r="G127" s="368"/>
      <c r="H127" s="368"/>
    </row>
    <row r="128" spans="1:8" hidden="1" outlineLevel="1">
      <c r="A128" s="164"/>
      <c r="B128" s="165"/>
      <c r="C128" s="165"/>
      <c r="D128" s="166"/>
      <c r="E128" s="165"/>
      <c r="F128" s="167"/>
      <c r="G128" s="167"/>
      <c r="H128" s="167"/>
    </row>
    <row r="129" spans="1:8" hidden="1" outlineLevel="1">
      <c r="A129" s="168" t="s">
        <v>496</v>
      </c>
      <c r="B129" s="369" t="s">
        <v>237</v>
      </c>
      <c r="C129" s="169" t="s">
        <v>357</v>
      </c>
      <c r="D129" s="170">
        <v>-0.28000000000000003</v>
      </c>
      <c r="E129" s="169">
        <v>1.1000000000000001</v>
      </c>
      <c r="F129" s="171">
        <f t="shared" ref="F129:F130" si="18">+E129/1000</f>
        <v>1.1000000000000001E-3</v>
      </c>
      <c r="G129" s="367">
        <f>+D130*F130</f>
        <v>4.4000000000000006E-5</v>
      </c>
      <c r="H129" s="367">
        <f>+D129*F129</f>
        <v>-3.0800000000000006E-4</v>
      </c>
    </row>
    <row r="130" spans="1:8" hidden="1" outlineLevel="1">
      <c r="A130" s="168" t="s">
        <v>496</v>
      </c>
      <c r="B130" s="369"/>
      <c r="C130" s="169" t="s">
        <v>236</v>
      </c>
      <c r="D130" s="170">
        <v>0.04</v>
      </c>
      <c r="E130" s="169">
        <v>1.1000000000000001</v>
      </c>
      <c r="F130" s="171">
        <f t="shared" si="18"/>
        <v>1.1000000000000001E-3</v>
      </c>
      <c r="G130" s="367"/>
      <c r="H130" s="367"/>
    </row>
    <row r="131" spans="1:8" hidden="1" outlineLevel="1">
      <c r="A131" s="164"/>
      <c r="B131" s="165"/>
      <c r="C131" s="165"/>
      <c r="D131" s="166"/>
      <c r="E131" s="165"/>
      <c r="F131" s="167"/>
      <c r="G131" s="167"/>
      <c r="H131" s="167"/>
    </row>
    <row r="132" spans="1:8" hidden="1" outlineLevel="1">
      <c r="A132" s="164" t="s">
        <v>497</v>
      </c>
      <c r="B132" s="373" t="s">
        <v>356</v>
      </c>
      <c r="C132" s="165" t="s">
        <v>357</v>
      </c>
      <c r="D132" s="166">
        <v>-1.53</v>
      </c>
      <c r="E132" s="165">
        <v>3.4</v>
      </c>
      <c r="F132" s="167">
        <f t="shared" ref="F132:F133" si="19">+E132/1000</f>
        <v>3.3999999999999998E-3</v>
      </c>
      <c r="G132" s="368">
        <f>+D132*F132+D133*F133</f>
        <v>-5.0660000000000002E-3</v>
      </c>
      <c r="H132" s="368"/>
    </row>
    <row r="133" spans="1:8" hidden="1" outlineLevel="1">
      <c r="A133" s="164" t="s">
        <v>497</v>
      </c>
      <c r="B133" s="373"/>
      <c r="C133" s="165" t="s">
        <v>236</v>
      </c>
      <c r="D133" s="166">
        <v>0.04</v>
      </c>
      <c r="E133" s="165">
        <v>3.4</v>
      </c>
      <c r="F133" s="167">
        <f t="shared" si="19"/>
        <v>3.3999999999999998E-3</v>
      </c>
      <c r="G133" s="368"/>
      <c r="H133" s="368"/>
    </row>
    <row r="134" spans="1:8" hidden="1" outlineLevel="1">
      <c r="A134" s="164"/>
      <c r="B134" s="165"/>
      <c r="C134" s="165"/>
      <c r="D134" s="166"/>
      <c r="E134" s="165"/>
      <c r="F134" s="167"/>
      <c r="G134" s="167"/>
      <c r="H134" s="167"/>
    </row>
    <row r="135" spans="1:8" hidden="1" outlineLevel="1">
      <c r="A135" s="168" t="s">
        <v>497</v>
      </c>
      <c r="B135" s="369" t="s">
        <v>237</v>
      </c>
      <c r="C135" s="169" t="s">
        <v>357</v>
      </c>
      <c r="D135" s="170">
        <v>-1.53</v>
      </c>
      <c r="E135" s="169">
        <v>4.3</v>
      </c>
      <c r="F135" s="171">
        <f t="shared" ref="F135:F136" si="20">+E135/1000</f>
        <v>4.3E-3</v>
      </c>
      <c r="G135" s="367">
        <f>+D136*F136</f>
        <v>1.7200000000000001E-4</v>
      </c>
      <c r="H135" s="367">
        <f>+D135*F135</f>
        <v>-6.5789999999999998E-3</v>
      </c>
    </row>
    <row r="136" spans="1:8" hidden="1" outlineLevel="1">
      <c r="A136" s="168" t="s">
        <v>497</v>
      </c>
      <c r="B136" s="369"/>
      <c r="C136" s="169" t="s">
        <v>236</v>
      </c>
      <c r="D136" s="170">
        <v>0.04</v>
      </c>
      <c r="E136" s="169">
        <v>4.3</v>
      </c>
      <c r="F136" s="171">
        <f t="shared" si="20"/>
        <v>4.3E-3</v>
      </c>
      <c r="G136" s="367"/>
      <c r="H136" s="367"/>
    </row>
    <row r="137" spans="1:8" hidden="1" outlineLevel="1">
      <c r="A137" s="164"/>
      <c r="B137" s="165"/>
      <c r="C137" s="165"/>
      <c r="D137" s="166"/>
      <c r="E137" s="165"/>
      <c r="F137" s="167"/>
      <c r="G137" s="167"/>
      <c r="H137" s="167"/>
    </row>
    <row r="138" spans="1:8" hidden="1" outlineLevel="1">
      <c r="A138" s="164" t="s">
        <v>498</v>
      </c>
      <c r="B138" s="373" t="s">
        <v>356</v>
      </c>
      <c r="C138" s="165" t="s">
        <v>357</v>
      </c>
      <c r="D138" s="166">
        <v>-3.51</v>
      </c>
      <c r="E138" s="165">
        <v>1</v>
      </c>
      <c r="F138" s="167">
        <f t="shared" ref="F138:F139" si="21">+E138/1000</f>
        <v>1E-3</v>
      </c>
      <c r="G138" s="368">
        <f>+D138*F138+D139*F139</f>
        <v>-3.1899999999999997E-3</v>
      </c>
      <c r="H138" s="368"/>
    </row>
    <row r="139" spans="1:8" hidden="1" outlineLevel="1">
      <c r="A139" s="164" t="s">
        <v>498</v>
      </c>
      <c r="B139" s="373"/>
      <c r="C139" s="165" t="s">
        <v>236</v>
      </c>
      <c r="D139" s="166">
        <v>0.32</v>
      </c>
      <c r="E139" s="165">
        <v>1</v>
      </c>
      <c r="F139" s="167">
        <f t="shared" si="21"/>
        <v>1E-3</v>
      </c>
      <c r="G139" s="368"/>
      <c r="H139" s="368"/>
    </row>
    <row r="140" spans="1:8" hidden="1" outlineLevel="1">
      <c r="A140" s="164"/>
      <c r="B140" s="165"/>
      <c r="C140" s="165"/>
      <c r="D140" s="166"/>
      <c r="E140" s="165"/>
      <c r="F140" s="167"/>
      <c r="G140" s="167"/>
      <c r="H140" s="167"/>
    </row>
    <row r="141" spans="1:8" hidden="1" outlineLevel="1">
      <c r="A141" s="168" t="s">
        <v>498</v>
      </c>
      <c r="B141" s="369" t="s">
        <v>237</v>
      </c>
      <c r="C141" s="169" t="s">
        <v>357</v>
      </c>
      <c r="D141" s="170">
        <v>-3.51</v>
      </c>
      <c r="E141" s="169">
        <v>4.8</v>
      </c>
      <c r="F141" s="171">
        <f>+E141/1000</f>
        <v>4.7999999999999996E-3</v>
      </c>
      <c r="G141" s="367">
        <f>+D142*F142</f>
        <v>1.5359999999999998E-3</v>
      </c>
      <c r="H141" s="367">
        <f>+D141*F141</f>
        <v>-1.6847999999999998E-2</v>
      </c>
    </row>
    <row r="142" spans="1:8" hidden="1" outlineLevel="1">
      <c r="A142" s="168" t="s">
        <v>498</v>
      </c>
      <c r="B142" s="369"/>
      <c r="C142" s="169" t="s">
        <v>236</v>
      </c>
      <c r="D142" s="170">
        <v>0.32</v>
      </c>
      <c r="E142" s="169">
        <v>4.8</v>
      </c>
      <c r="F142" s="171">
        <f>+E142/1000</f>
        <v>4.7999999999999996E-3</v>
      </c>
      <c r="G142" s="367"/>
      <c r="H142" s="367"/>
    </row>
    <row r="143" spans="1:8" hidden="1" outlineLevel="1">
      <c r="A143" s="164"/>
      <c r="B143" s="165"/>
      <c r="C143" s="165"/>
      <c r="D143" s="166"/>
      <c r="E143" s="165"/>
      <c r="F143" s="167"/>
      <c r="G143" s="167"/>
      <c r="H143" s="167"/>
    </row>
    <row r="144" spans="1:8" hidden="1" outlineLevel="1">
      <c r="A144" s="164" t="s">
        <v>482</v>
      </c>
      <c r="B144" s="373" t="s">
        <v>356</v>
      </c>
      <c r="C144" s="165" t="s">
        <v>357</v>
      </c>
      <c r="D144" s="166">
        <v>-3.1</v>
      </c>
      <c r="E144" s="165">
        <v>39.5</v>
      </c>
      <c r="F144" s="167">
        <f t="shared" ref="F144:F145" si="22">+E144/1000</f>
        <v>3.95E-2</v>
      </c>
      <c r="G144" s="368">
        <f>+D144*F144+D145*F145</f>
        <v>-0.10744000000000001</v>
      </c>
      <c r="H144" s="368"/>
    </row>
    <row r="145" spans="1:8" hidden="1" outlineLevel="1">
      <c r="A145" s="164" t="s">
        <v>482</v>
      </c>
      <c r="B145" s="373"/>
      <c r="C145" s="165" t="s">
        <v>236</v>
      </c>
      <c r="D145" s="166">
        <v>0.38</v>
      </c>
      <c r="E145" s="165">
        <v>39.5</v>
      </c>
      <c r="F145" s="167">
        <f t="shared" si="22"/>
        <v>3.95E-2</v>
      </c>
      <c r="G145" s="368"/>
      <c r="H145" s="368"/>
    </row>
    <row r="146" spans="1:8" hidden="1" outlineLevel="1">
      <c r="A146" s="164"/>
      <c r="B146" s="165"/>
      <c r="C146" s="165"/>
      <c r="D146" s="166"/>
      <c r="E146" s="165"/>
      <c r="F146" s="167"/>
      <c r="G146" s="167"/>
      <c r="H146" s="167"/>
    </row>
    <row r="147" spans="1:8" hidden="1" outlineLevel="1">
      <c r="A147" s="168" t="s">
        <v>482</v>
      </c>
      <c r="B147" s="369" t="s">
        <v>237</v>
      </c>
      <c r="C147" s="169" t="s">
        <v>357</v>
      </c>
      <c r="D147" s="170">
        <v>-3.1</v>
      </c>
      <c r="E147" s="169">
        <v>0</v>
      </c>
      <c r="F147" s="171">
        <f t="shared" ref="F147:F148" si="23">+E147/1000</f>
        <v>0</v>
      </c>
      <c r="G147" s="367">
        <f>+D148*F148</f>
        <v>0</v>
      </c>
      <c r="H147" s="367">
        <f>+D147*F147</f>
        <v>0</v>
      </c>
    </row>
    <row r="148" spans="1:8" hidden="1" outlineLevel="1">
      <c r="A148" s="168" t="s">
        <v>482</v>
      </c>
      <c r="B148" s="369"/>
      <c r="C148" s="169" t="s">
        <v>236</v>
      </c>
      <c r="D148" s="170">
        <v>0.38</v>
      </c>
      <c r="E148" s="169">
        <v>0</v>
      </c>
      <c r="F148" s="171">
        <f t="shared" si="23"/>
        <v>0</v>
      </c>
      <c r="G148" s="367"/>
      <c r="H148" s="367"/>
    </row>
    <row r="149" spans="1:8" hidden="1" outlineLevel="1">
      <c r="A149" s="164"/>
      <c r="B149" s="165"/>
      <c r="C149" s="165"/>
      <c r="D149" s="166"/>
      <c r="E149" s="165"/>
      <c r="F149" s="172"/>
      <c r="G149" s="172"/>
      <c r="H149" s="167"/>
    </row>
    <row r="150" spans="1:8" hidden="1" outlineLevel="1">
      <c r="A150" s="168" t="s">
        <v>483</v>
      </c>
      <c r="B150" s="369" t="s">
        <v>237</v>
      </c>
      <c r="C150" s="169" t="s">
        <v>194</v>
      </c>
      <c r="D150" s="170">
        <v>-0.2</v>
      </c>
      <c r="E150" s="169">
        <v>23.4</v>
      </c>
      <c r="F150" s="171">
        <f t="shared" ref="F150:F151" si="24">+E150/1000</f>
        <v>2.3399999999999997E-2</v>
      </c>
      <c r="G150" s="367">
        <f>+D151*F151</f>
        <v>2.5739999999999999E-3</v>
      </c>
      <c r="H150" s="367">
        <f>+D150*F150</f>
        <v>-4.6799999999999993E-3</v>
      </c>
    </row>
    <row r="151" spans="1:8" ht="13" hidden="1" outlineLevel="1" thickBot="1">
      <c r="A151" s="173" t="s">
        <v>483</v>
      </c>
      <c r="B151" s="371"/>
      <c r="C151" s="174" t="s">
        <v>236</v>
      </c>
      <c r="D151" s="175">
        <v>0.11</v>
      </c>
      <c r="E151" s="174">
        <v>23.4</v>
      </c>
      <c r="F151" s="176">
        <f t="shared" si="24"/>
        <v>2.3399999999999997E-2</v>
      </c>
      <c r="G151" s="374"/>
      <c r="H151" s="374"/>
    </row>
    <row r="152" spans="1:8" hidden="1" outlineLevel="1"/>
    <row r="153" spans="1:8" hidden="1" outlineLevel="1"/>
    <row r="154" spans="1:8" collapsed="1">
      <c r="A154" s="177" t="s">
        <v>335</v>
      </c>
      <c r="B154" s="491">
        <f>SUM(E114+E117+E120+E123+E126+E129+E132+E135+E138+E141+E144+E147+E150)</f>
        <v>408.29999999999995</v>
      </c>
    </row>
    <row r="155" spans="1:8">
      <c r="A155" s="178" t="s">
        <v>336</v>
      </c>
      <c r="B155" s="492">
        <f>G114+G117+G120+G123+G126+G129+G132+G135+G138+G141+G144+G147+G150</f>
        <v>9.3939999999999996E-2</v>
      </c>
    </row>
    <row r="156" spans="1:8">
      <c r="A156" s="184" t="s">
        <v>337</v>
      </c>
      <c r="B156" s="493">
        <f>SUM(H117+H123+H129+H135+H141+H147+H150)</f>
        <v>-9.3139000000000013E-2</v>
      </c>
    </row>
    <row r="157" spans="1:8">
      <c r="A157" s="179" t="s">
        <v>628</v>
      </c>
      <c r="B157" s="494"/>
      <c r="C157" s="181"/>
      <c r="D157" s="488">
        <f>+B154*242/1000</f>
        <v>98.808599999999984</v>
      </c>
    </row>
    <row r="158" spans="1:8">
      <c r="A158" s="358" t="s">
        <v>338</v>
      </c>
      <c r="B158" s="359"/>
      <c r="C158" s="359"/>
      <c r="D158" s="489">
        <f>B155*242</f>
        <v>22.73348</v>
      </c>
    </row>
    <row r="159" spans="1:8">
      <c r="A159" s="360" t="s">
        <v>598</v>
      </c>
      <c r="B159" s="361"/>
      <c r="C159" s="361"/>
      <c r="D159" s="490">
        <f>B156*242</f>
        <v>-22.539638000000004</v>
      </c>
    </row>
    <row r="163" spans="1:8">
      <c r="A163" s="117" t="s">
        <v>475</v>
      </c>
    </row>
    <row r="164" spans="1:8" s="159" customFormat="1" ht="25" hidden="1" outlineLevel="1" thickBot="1">
      <c r="A164" s="153" t="s">
        <v>476</v>
      </c>
      <c r="B164" s="154" t="s">
        <v>477</v>
      </c>
      <c r="C164" s="154" t="s">
        <v>478</v>
      </c>
      <c r="D164" s="155" t="s">
        <v>547</v>
      </c>
      <c r="E164" s="156" t="s">
        <v>509</v>
      </c>
      <c r="F164" s="157" t="s">
        <v>510</v>
      </c>
      <c r="G164" s="158" t="s">
        <v>548</v>
      </c>
      <c r="H164" s="158" t="s">
        <v>558</v>
      </c>
    </row>
    <row r="165" spans="1:8" hidden="1" outlineLevel="1">
      <c r="A165" s="160" t="s">
        <v>431</v>
      </c>
      <c r="B165" s="375" t="s">
        <v>432</v>
      </c>
      <c r="C165" s="161" t="s">
        <v>194</v>
      </c>
      <c r="D165" s="162">
        <v>-0.2</v>
      </c>
      <c r="E165" s="161">
        <v>35</v>
      </c>
      <c r="F165" s="163">
        <f t="shared" ref="F165:F166" si="25">+E165/1000</f>
        <v>3.5000000000000003E-2</v>
      </c>
      <c r="G165" s="365">
        <f>+D165*F165+D166*F166</f>
        <v>1.7849999999999998E-2</v>
      </c>
      <c r="H165" s="366"/>
    </row>
    <row r="166" spans="1:8" hidden="1" outlineLevel="1">
      <c r="A166" s="164" t="s">
        <v>431</v>
      </c>
      <c r="B166" s="373"/>
      <c r="C166" s="165" t="s">
        <v>236</v>
      </c>
      <c r="D166" s="166">
        <v>0.71</v>
      </c>
      <c r="E166" s="165">
        <v>35</v>
      </c>
      <c r="F166" s="167">
        <f t="shared" si="25"/>
        <v>3.5000000000000003E-2</v>
      </c>
      <c r="G166" s="366"/>
      <c r="H166" s="368"/>
    </row>
    <row r="167" spans="1:8" hidden="1" outlineLevel="1">
      <c r="A167" s="164"/>
      <c r="B167" s="165"/>
      <c r="C167" s="165"/>
      <c r="D167" s="166"/>
      <c r="E167" s="165"/>
      <c r="F167" s="167"/>
      <c r="G167" s="167"/>
      <c r="H167" s="167"/>
    </row>
    <row r="168" spans="1:8" hidden="1" outlineLevel="1">
      <c r="A168" s="168" t="s">
        <v>431</v>
      </c>
      <c r="B168" s="369" t="s">
        <v>237</v>
      </c>
      <c r="C168" s="169" t="s">
        <v>194</v>
      </c>
      <c r="D168" s="170">
        <v>-0.2</v>
      </c>
      <c r="E168" s="169">
        <v>79.599999999999994</v>
      </c>
      <c r="F168" s="171">
        <f t="shared" ref="F168:F169" si="26">+E168/1000</f>
        <v>7.959999999999999E-2</v>
      </c>
      <c r="G168" s="367">
        <f>+D169*F169</f>
        <v>5.651599999999999E-2</v>
      </c>
      <c r="H168" s="367">
        <f>+D168*F168</f>
        <v>-1.592E-2</v>
      </c>
    </row>
    <row r="169" spans="1:8" hidden="1" outlineLevel="1">
      <c r="A169" s="168" t="s">
        <v>431</v>
      </c>
      <c r="B169" s="369"/>
      <c r="C169" s="169" t="s">
        <v>236</v>
      </c>
      <c r="D169" s="170">
        <v>0.71</v>
      </c>
      <c r="E169" s="169">
        <v>79.599999999999994</v>
      </c>
      <c r="F169" s="171">
        <f t="shared" si="26"/>
        <v>7.959999999999999E-2</v>
      </c>
      <c r="G169" s="367"/>
      <c r="H169" s="367"/>
    </row>
    <row r="170" spans="1:8" hidden="1" outlineLevel="1">
      <c r="A170" s="164"/>
      <c r="B170" s="165"/>
      <c r="C170" s="165"/>
      <c r="D170" s="166"/>
      <c r="E170" s="165"/>
      <c r="F170" s="167"/>
      <c r="G170" s="167"/>
      <c r="H170" s="167"/>
    </row>
    <row r="171" spans="1:8" hidden="1" outlineLevel="1">
      <c r="A171" s="164" t="s">
        <v>239</v>
      </c>
      <c r="B171" s="373" t="s">
        <v>356</v>
      </c>
      <c r="C171" s="165" t="s">
        <v>357</v>
      </c>
      <c r="D171" s="166">
        <v>-5.41</v>
      </c>
      <c r="E171" s="165">
        <v>2.6</v>
      </c>
      <c r="F171" s="167">
        <f t="shared" ref="F171:F172" si="27">+E171/1000</f>
        <v>2.5999999999999999E-3</v>
      </c>
      <c r="G171" s="368">
        <f>+D171*F171+D172*F172</f>
        <v>-1.3962E-2</v>
      </c>
      <c r="H171" s="368"/>
    </row>
    <row r="172" spans="1:8" hidden="1" outlineLevel="1">
      <c r="A172" s="164" t="s">
        <v>239</v>
      </c>
      <c r="B172" s="373"/>
      <c r="C172" s="165" t="s">
        <v>236</v>
      </c>
      <c r="D172" s="166">
        <v>0.04</v>
      </c>
      <c r="E172" s="165">
        <v>2.6</v>
      </c>
      <c r="F172" s="167">
        <f t="shared" si="27"/>
        <v>2.5999999999999999E-3</v>
      </c>
      <c r="G172" s="368"/>
      <c r="H172" s="368"/>
    </row>
    <row r="173" spans="1:8" hidden="1" outlineLevel="1">
      <c r="A173" s="164"/>
      <c r="B173" s="165"/>
      <c r="C173" s="165"/>
      <c r="D173" s="166"/>
      <c r="E173" s="165"/>
      <c r="F173" s="167"/>
      <c r="G173" s="167"/>
      <c r="H173" s="167"/>
    </row>
    <row r="174" spans="1:8" hidden="1" outlineLevel="1">
      <c r="A174" s="168" t="s">
        <v>239</v>
      </c>
      <c r="B174" s="369" t="s">
        <v>237</v>
      </c>
      <c r="C174" s="169" t="s">
        <v>357</v>
      </c>
      <c r="D174" s="170">
        <v>-5.41</v>
      </c>
      <c r="E174" s="169">
        <v>1.1000000000000001</v>
      </c>
      <c r="F174" s="171">
        <f t="shared" ref="F174:F175" si="28">+E174/1000</f>
        <v>1.1000000000000001E-3</v>
      </c>
      <c r="G174" s="367">
        <f>+D175*F175</f>
        <v>4.4000000000000006E-5</v>
      </c>
      <c r="H174" s="367">
        <f>+D174*F174</f>
        <v>-5.9510000000000006E-3</v>
      </c>
    </row>
    <row r="175" spans="1:8" hidden="1" outlineLevel="1">
      <c r="A175" s="168" t="s">
        <v>239</v>
      </c>
      <c r="B175" s="369"/>
      <c r="C175" s="169" t="s">
        <v>236</v>
      </c>
      <c r="D175" s="170">
        <v>0.04</v>
      </c>
      <c r="E175" s="169">
        <v>1.1000000000000001</v>
      </c>
      <c r="F175" s="171">
        <f t="shared" si="28"/>
        <v>1.1000000000000001E-3</v>
      </c>
      <c r="G175" s="367"/>
      <c r="H175" s="367"/>
    </row>
    <row r="176" spans="1:8" hidden="1" outlineLevel="1">
      <c r="A176" s="164"/>
      <c r="B176" s="165"/>
      <c r="C176" s="165"/>
      <c r="D176" s="166"/>
      <c r="E176" s="165"/>
      <c r="F176" s="167"/>
      <c r="G176" s="167"/>
      <c r="H176" s="167"/>
    </row>
    <row r="177" spans="1:8" hidden="1" outlineLevel="1">
      <c r="A177" s="164" t="s">
        <v>496</v>
      </c>
      <c r="B177" s="373" t="s">
        <v>356</v>
      </c>
      <c r="C177" s="165" t="s">
        <v>357</v>
      </c>
      <c r="D177" s="166">
        <v>-0.28000000000000003</v>
      </c>
      <c r="E177" s="165">
        <v>9.15</v>
      </c>
      <c r="F177" s="167">
        <f t="shared" ref="F177:F178" si="29">+E177/1000</f>
        <v>9.1500000000000001E-3</v>
      </c>
      <c r="G177" s="368">
        <f>+D177*F177+D178*F178</f>
        <v>-2.1960000000000005E-3</v>
      </c>
      <c r="H177" s="368"/>
    </row>
    <row r="178" spans="1:8" hidden="1" outlineLevel="1">
      <c r="A178" s="164" t="s">
        <v>496</v>
      </c>
      <c r="B178" s="373"/>
      <c r="C178" s="165" t="s">
        <v>236</v>
      </c>
      <c r="D178" s="166">
        <v>0.04</v>
      </c>
      <c r="E178" s="165">
        <v>9.15</v>
      </c>
      <c r="F178" s="167">
        <f t="shared" si="29"/>
        <v>9.1500000000000001E-3</v>
      </c>
      <c r="G178" s="368"/>
      <c r="H178" s="368"/>
    </row>
    <row r="179" spans="1:8" hidden="1" outlineLevel="1">
      <c r="A179" s="164"/>
      <c r="B179" s="165"/>
      <c r="C179" s="165"/>
      <c r="D179" s="166"/>
      <c r="E179" s="165"/>
      <c r="F179" s="167"/>
      <c r="G179" s="167"/>
      <c r="H179" s="167"/>
    </row>
    <row r="180" spans="1:8" hidden="1" outlineLevel="1">
      <c r="A180" s="168" t="s">
        <v>496</v>
      </c>
      <c r="B180" s="369" t="s">
        <v>237</v>
      </c>
      <c r="C180" s="169" t="s">
        <v>357</v>
      </c>
      <c r="D180" s="170">
        <v>-0.28000000000000003</v>
      </c>
      <c r="E180" s="169">
        <v>4.0999999999999996</v>
      </c>
      <c r="F180" s="171">
        <f t="shared" ref="F180:F181" si="30">+E180/1000</f>
        <v>4.0999999999999995E-3</v>
      </c>
      <c r="G180" s="367">
        <f>+D181*F181</f>
        <v>1.6399999999999997E-4</v>
      </c>
      <c r="H180" s="367">
        <f>+D180*F180</f>
        <v>-1.1479999999999999E-3</v>
      </c>
    </row>
    <row r="181" spans="1:8" hidden="1" outlineLevel="1">
      <c r="A181" s="168" t="s">
        <v>496</v>
      </c>
      <c r="B181" s="369"/>
      <c r="C181" s="169" t="s">
        <v>236</v>
      </c>
      <c r="D181" s="170">
        <v>0.04</v>
      </c>
      <c r="E181" s="169">
        <v>4.0999999999999996</v>
      </c>
      <c r="F181" s="171">
        <f t="shared" si="30"/>
        <v>4.0999999999999995E-3</v>
      </c>
      <c r="G181" s="367"/>
      <c r="H181" s="367"/>
    </row>
    <row r="182" spans="1:8" hidden="1" outlineLevel="1">
      <c r="A182" s="164"/>
      <c r="B182" s="165"/>
      <c r="C182" s="165"/>
      <c r="D182" s="166"/>
      <c r="E182" s="165"/>
      <c r="F182" s="167"/>
      <c r="G182" s="167"/>
      <c r="H182" s="167"/>
    </row>
    <row r="183" spans="1:8" hidden="1" outlineLevel="1">
      <c r="A183" s="164" t="s">
        <v>497</v>
      </c>
      <c r="B183" s="373" t="s">
        <v>356</v>
      </c>
      <c r="C183" s="165" t="s">
        <v>357</v>
      </c>
      <c r="D183" s="166">
        <v>-1.53</v>
      </c>
      <c r="E183" s="165">
        <v>10.9</v>
      </c>
      <c r="F183" s="167">
        <f t="shared" ref="F183:F184" si="31">+E183/1000</f>
        <v>1.09E-2</v>
      </c>
      <c r="G183" s="368">
        <f>+D183*F183+D184*F184</f>
        <v>-1.6241000000000002E-2</v>
      </c>
      <c r="H183" s="368"/>
    </row>
    <row r="184" spans="1:8" hidden="1" outlineLevel="1">
      <c r="A184" s="164" t="s">
        <v>497</v>
      </c>
      <c r="B184" s="373"/>
      <c r="C184" s="165" t="s">
        <v>236</v>
      </c>
      <c r="D184" s="166">
        <v>0.04</v>
      </c>
      <c r="E184" s="165">
        <v>10.9</v>
      </c>
      <c r="F184" s="167">
        <f t="shared" si="31"/>
        <v>1.09E-2</v>
      </c>
      <c r="G184" s="368"/>
      <c r="H184" s="368"/>
    </row>
    <row r="185" spans="1:8" hidden="1" outlineLevel="1">
      <c r="A185" s="164"/>
      <c r="B185" s="165"/>
      <c r="C185" s="165"/>
      <c r="D185" s="166"/>
      <c r="E185" s="165"/>
      <c r="F185" s="167"/>
      <c r="G185" s="167"/>
      <c r="H185" s="167"/>
    </row>
    <row r="186" spans="1:8" hidden="1" outlineLevel="1">
      <c r="A186" s="168" t="s">
        <v>497</v>
      </c>
      <c r="B186" s="369" t="s">
        <v>237</v>
      </c>
      <c r="C186" s="169" t="s">
        <v>357</v>
      </c>
      <c r="D186" s="170">
        <v>-1.53</v>
      </c>
      <c r="E186" s="169">
        <v>8.6</v>
      </c>
      <c r="F186" s="171">
        <f t="shared" ref="F186:F187" si="32">+E186/1000</f>
        <v>8.6E-3</v>
      </c>
      <c r="G186" s="367">
        <f>+D187*F187</f>
        <v>3.4400000000000001E-4</v>
      </c>
      <c r="H186" s="367">
        <f>+D186*F186</f>
        <v>-1.3158E-2</v>
      </c>
    </row>
    <row r="187" spans="1:8" hidden="1" outlineLevel="1">
      <c r="A187" s="168" t="s">
        <v>497</v>
      </c>
      <c r="B187" s="369"/>
      <c r="C187" s="169" t="s">
        <v>236</v>
      </c>
      <c r="D187" s="170">
        <v>0.04</v>
      </c>
      <c r="E187" s="169">
        <v>8.6</v>
      </c>
      <c r="F187" s="171">
        <f t="shared" si="32"/>
        <v>8.6E-3</v>
      </c>
      <c r="G187" s="367"/>
      <c r="H187" s="367"/>
    </row>
    <row r="188" spans="1:8" hidden="1" outlineLevel="1">
      <c r="A188" s="164"/>
      <c r="B188" s="165"/>
      <c r="C188" s="165"/>
      <c r="D188" s="166"/>
      <c r="E188" s="165"/>
      <c r="F188" s="167"/>
      <c r="G188" s="167"/>
      <c r="H188" s="167"/>
    </row>
    <row r="189" spans="1:8" hidden="1" outlineLevel="1">
      <c r="A189" s="164" t="s">
        <v>498</v>
      </c>
      <c r="B189" s="373" t="s">
        <v>356</v>
      </c>
      <c r="C189" s="165" t="s">
        <v>357</v>
      </c>
      <c r="D189" s="166">
        <v>-3.51</v>
      </c>
      <c r="E189" s="165">
        <v>3.4</v>
      </c>
      <c r="F189" s="167">
        <f t="shared" ref="F189:F190" si="33">+E189/1000</f>
        <v>3.3999999999999998E-3</v>
      </c>
      <c r="G189" s="368">
        <f>+D189*F189+D190*F190</f>
        <v>-1.0845999999999998E-2</v>
      </c>
      <c r="H189" s="368"/>
    </row>
    <row r="190" spans="1:8" hidden="1" outlineLevel="1">
      <c r="A190" s="164" t="s">
        <v>498</v>
      </c>
      <c r="B190" s="373"/>
      <c r="C190" s="165" t="s">
        <v>236</v>
      </c>
      <c r="D190" s="166">
        <v>0.32</v>
      </c>
      <c r="E190" s="165">
        <v>3.4</v>
      </c>
      <c r="F190" s="167">
        <f t="shared" si="33"/>
        <v>3.3999999999999998E-3</v>
      </c>
      <c r="G190" s="368"/>
      <c r="H190" s="368"/>
    </row>
    <row r="191" spans="1:8" hidden="1" outlineLevel="1">
      <c r="A191" s="164"/>
      <c r="B191" s="165"/>
      <c r="C191" s="165"/>
      <c r="D191" s="166"/>
      <c r="E191" s="165"/>
      <c r="F191" s="167"/>
      <c r="G191" s="167"/>
      <c r="H191" s="167"/>
    </row>
    <row r="192" spans="1:8" hidden="1" outlineLevel="1">
      <c r="A192" s="168" t="s">
        <v>498</v>
      </c>
      <c r="B192" s="369" t="s">
        <v>237</v>
      </c>
      <c r="C192" s="169" t="s">
        <v>357</v>
      </c>
      <c r="D192" s="170">
        <v>-3.51</v>
      </c>
      <c r="E192" s="169">
        <v>3</v>
      </c>
      <c r="F192" s="171">
        <f t="shared" ref="F192:F193" si="34">+E192/1000</f>
        <v>3.0000000000000001E-3</v>
      </c>
      <c r="G192" s="367">
        <f>+D193*F193</f>
        <v>9.6000000000000002E-4</v>
      </c>
      <c r="H192" s="367">
        <f>+D192*F192</f>
        <v>-1.0529999999999999E-2</v>
      </c>
    </row>
    <row r="193" spans="1:8" hidden="1" outlineLevel="1">
      <c r="A193" s="168" t="s">
        <v>498</v>
      </c>
      <c r="B193" s="369"/>
      <c r="C193" s="169" t="s">
        <v>236</v>
      </c>
      <c r="D193" s="170">
        <v>0.32</v>
      </c>
      <c r="E193" s="169">
        <v>3</v>
      </c>
      <c r="F193" s="171">
        <f t="shared" si="34"/>
        <v>3.0000000000000001E-3</v>
      </c>
      <c r="G193" s="367"/>
      <c r="H193" s="367"/>
    </row>
    <row r="194" spans="1:8" hidden="1" outlineLevel="1">
      <c r="A194" s="164"/>
      <c r="B194" s="165"/>
      <c r="C194" s="165"/>
      <c r="D194" s="166"/>
      <c r="E194" s="165"/>
      <c r="F194" s="167"/>
      <c r="G194" s="167"/>
      <c r="H194" s="167"/>
    </row>
    <row r="195" spans="1:8" hidden="1" outlineLevel="1">
      <c r="A195" s="164" t="s">
        <v>482</v>
      </c>
      <c r="B195" s="373" t="s">
        <v>356</v>
      </c>
      <c r="C195" s="165" t="s">
        <v>357</v>
      </c>
      <c r="D195" s="166">
        <v>-3.1</v>
      </c>
      <c r="E195" s="165">
        <v>70</v>
      </c>
      <c r="F195" s="167">
        <f t="shared" ref="F195:F196" si="35">+E195/1000</f>
        <v>7.0000000000000007E-2</v>
      </c>
      <c r="G195" s="368">
        <f>+D195*F195+D196*F196</f>
        <v>-0.19040000000000001</v>
      </c>
      <c r="H195" s="368"/>
    </row>
    <row r="196" spans="1:8" hidden="1" outlineLevel="1">
      <c r="A196" s="164" t="s">
        <v>482</v>
      </c>
      <c r="B196" s="373"/>
      <c r="C196" s="165" t="s">
        <v>236</v>
      </c>
      <c r="D196" s="166">
        <v>0.38</v>
      </c>
      <c r="E196" s="165">
        <v>70</v>
      </c>
      <c r="F196" s="167">
        <f t="shared" si="35"/>
        <v>7.0000000000000007E-2</v>
      </c>
      <c r="G196" s="368"/>
      <c r="H196" s="368"/>
    </row>
    <row r="197" spans="1:8" hidden="1" outlineLevel="1">
      <c r="A197" s="164"/>
      <c r="B197" s="165"/>
      <c r="C197" s="165"/>
      <c r="D197" s="166"/>
      <c r="E197" s="165"/>
      <c r="F197" s="167"/>
      <c r="G197" s="167"/>
      <c r="H197" s="167"/>
    </row>
    <row r="198" spans="1:8" hidden="1" outlineLevel="1">
      <c r="A198" s="168" t="s">
        <v>482</v>
      </c>
      <c r="B198" s="369" t="s">
        <v>237</v>
      </c>
      <c r="C198" s="169" t="s">
        <v>357</v>
      </c>
      <c r="D198" s="170">
        <v>-3.1</v>
      </c>
      <c r="E198" s="169">
        <v>0</v>
      </c>
      <c r="F198" s="171">
        <f t="shared" ref="F198:F199" si="36">+E198/1000</f>
        <v>0</v>
      </c>
      <c r="G198" s="367">
        <f>+D199*F199</f>
        <v>0</v>
      </c>
      <c r="H198" s="367">
        <f>+D198*F198</f>
        <v>0</v>
      </c>
    </row>
    <row r="199" spans="1:8" hidden="1" outlineLevel="1">
      <c r="A199" s="168" t="s">
        <v>482</v>
      </c>
      <c r="B199" s="369"/>
      <c r="C199" s="169" t="s">
        <v>236</v>
      </c>
      <c r="D199" s="170">
        <v>0.38</v>
      </c>
      <c r="E199" s="169">
        <v>0</v>
      </c>
      <c r="F199" s="171">
        <f t="shared" si="36"/>
        <v>0</v>
      </c>
      <c r="G199" s="367"/>
      <c r="H199" s="367"/>
    </row>
    <row r="200" spans="1:8" hidden="1" outlineLevel="1">
      <c r="A200" s="164"/>
      <c r="B200" s="165"/>
      <c r="C200" s="165"/>
      <c r="D200" s="166"/>
      <c r="E200" s="165"/>
      <c r="F200" s="172"/>
      <c r="G200" s="172"/>
      <c r="H200" s="167"/>
    </row>
    <row r="201" spans="1:8" hidden="1" outlineLevel="1">
      <c r="A201" s="168" t="s">
        <v>483</v>
      </c>
      <c r="B201" s="369" t="s">
        <v>237</v>
      </c>
      <c r="C201" s="169" t="s">
        <v>194</v>
      </c>
      <c r="D201" s="170">
        <v>-0.2</v>
      </c>
      <c r="E201" s="169">
        <v>400.4</v>
      </c>
      <c r="F201" s="171">
        <f t="shared" ref="F201:F202" si="37">+E201/1000</f>
        <v>0.40039999999999998</v>
      </c>
      <c r="G201" s="367">
        <f>+D202*F202</f>
        <v>4.4044E-2</v>
      </c>
      <c r="H201" s="367">
        <f>+D201*F201</f>
        <v>-8.0079999999999998E-2</v>
      </c>
    </row>
    <row r="202" spans="1:8" ht="13" hidden="1" outlineLevel="1" thickBot="1">
      <c r="A202" s="173" t="s">
        <v>483</v>
      </c>
      <c r="B202" s="371"/>
      <c r="C202" s="174" t="s">
        <v>236</v>
      </c>
      <c r="D202" s="175">
        <v>0.11</v>
      </c>
      <c r="E202" s="174">
        <v>400.4</v>
      </c>
      <c r="F202" s="176">
        <f t="shared" si="37"/>
        <v>0.40039999999999998</v>
      </c>
      <c r="G202" s="374"/>
      <c r="H202" s="372"/>
    </row>
    <row r="203" spans="1:8" hidden="1" outlineLevel="1"/>
    <row r="204" spans="1:8" hidden="1" outlineLevel="1">
      <c r="H204" s="189"/>
    </row>
    <row r="205" spans="1:8" collapsed="1">
      <c r="A205" s="177" t="s">
        <v>335</v>
      </c>
      <c r="B205" s="491">
        <f>SUM(E165+E168+E171+E174+E177+E180+E183+E186+E189+E192+E195+E198+E201)</f>
        <v>627.84999999999991</v>
      </c>
    </row>
    <row r="206" spans="1:8">
      <c r="A206" s="178" t="s">
        <v>336</v>
      </c>
      <c r="B206" s="492">
        <f>G165+G168+G171+G174+G177+G180+G183+G186+G189+G192+G195+G198+G201</f>
        <v>-0.11372300000000005</v>
      </c>
    </row>
    <row r="207" spans="1:8">
      <c r="A207" s="184" t="s">
        <v>337</v>
      </c>
      <c r="B207" s="493">
        <f>SUM(H168+H174+H180+H186+H192+H198+H201)</f>
        <v>-0.12678699999999998</v>
      </c>
    </row>
    <row r="208" spans="1:8">
      <c r="A208" s="179" t="s">
        <v>628</v>
      </c>
      <c r="B208" s="180"/>
      <c r="C208" s="181"/>
      <c r="D208" s="488">
        <f>+B205*242/1000</f>
        <v>151.93969999999999</v>
      </c>
    </row>
    <row r="209" spans="1:8">
      <c r="A209" s="358" t="s">
        <v>338</v>
      </c>
      <c r="B209" s="359"/>
      <c r="C209" s="359"/>
      <c r="D209" s="489">
        <f>B206*242</f>
        <v>-27.520966000000012</v>
      </c>
    </row>
    <row r="210" spans="1:8">
      <c r="A210" s="360" t="s">
        <v>366</v>
      </c>
      <c r="B210" s="361"/>
      <c r="C210" s="361"/>
      <c r="D210" s="490">
        <f>B207*242</f>
        <v>-30.682453999999996</v>
      </c>
    </row>
    <row r="214" spans="1:8" ht="13" thickBot="1">
      <c r="A214" s="117" t="s">
        <v>313</v>
      </c>
    </row>
    <row r="215" spans="1:8" ht="36">
      <c r="A215" s="190" t="s">
        <v>476</v>
      </c>
      <c r="B215" s="191" t="s">
        <v>477</v>
      </c>
      <c r="C215" s="191" t="s">
        <v>478</v>
      </c>
      <c r="D215" s="192" t="s">
        <v>547</v>
      </c>
      <c r="E215" s="193" t="s">
        <v>510</v>
      </c>
      <c r="F215" s="194" t="s">
        <v>548</v>
      </c>
      <c r="G215" s="195" t="s">
        <v>558</v>
      </c>
      <c r="H215" s="146"/>
    </row>
    <row r="216" spans="1:8">
      <c r="A216" s="164" t="s">
        <v>431</v>
      </c>
      <c r="B216" s="165" t="s">
        <v>432</v>
      </c>
      <c r="C216" s="165" t="s">
        <v>194</v>
      </c>
      <c r="D216" s="166">
        <v>-0.2</v>
      </c>
      <c r="E216" s="196">
        <f>+F12+F63+F114+F165</f>
        <v>0.37880000000000003</v>
      </c>
      <c r="F216" s="368">
        <f>+E217*D217+E216*(D217+D216)</f>
        <v>0.52674599999999994</v>
      </c>
      <c r="G216" s="385">
        <f>+E217*D216</f>
        <v>-9.3960000000000002E-2</v>
      </c>
      <c r="H216" s="495"/>
    </row>
    <row r="217" spans="1:8">
      <c r="A217" s="164" t="s">
        <v>431</v>
      </c>
      <c r="B217" s="165" t="s">
        <v>311</v>
      </c>
      <c r="C217" s="165" t="s">
        <v>236</v>
      </c>
      <c r="D217" s="166">
        <v>0.71</v>
      </c>
      <c r="E217" s="196">
        <f>+F15+F66+F117+F168</f>
        <v>0.4698</v>
      </c>
      <c r="F217" s="368"/>
      <c r="G217" s="385"/>
      <c r="H217" s="496">
        <f>G216*242</f>
        <v>-22.738320000000002</v>
      </c>
    </row>
    <row r="218" spans="1:8">
      <c r="A218" s="168" t="s">
        <v>239</v>
      </c>
      <c r="B218" s="169" t="s">
        <v>312</v>
      </c>
      <c r="C218" s="169" t="s">
        <v>367</v>
      </c>
      <c r="D218" s="170">
        <v>-5.41</v>
      </c>
      <c r="E218" s="197">
        <f>+F18+F69+F120+F171</f>
        <v>3.3899999999999998E-3</v>
      </c>
      <c r="F218" s="367">
        <f>+E219*D219+E218*(D219+D218)</f>
        <v>-1.7804299999999999E-2</v>
      </c>
      <c r="G218" s="388">
        <f>+E219*D218</f>
        <v>-5.4100000000000009E-2</v>
      </c>
      <c r="H218" s="496"/>
    </row>
    <row r="219" spans="1:8">
      <c r="A219" s="168" t="s">
        <v>368</v>
      </c>
      <c r="B219" s="169" t="s">
        <v>369</v>
      </c>
      <c r="C219" s="169" t="s">
        <v>370</v>
      </c>
      <c r="D219" s="170">
        <v>0.04</v>
      </c>
      <c r="E219" s="197">
        <f>+F21+F72+F123+F174</f>
        <v>1.0000000000000002E-2</v>
      </c>
      <c r="F219" s="367"/>
      <c r="G219" s="388"/>
      <c r="H219" s="496">
        <f>G218*242</f>
        <v>-13.092200000000002</v>
      </c>
    </row>
    <row r="220" spans="1:8">
      <c r="A220" s="164" t="s">
        <v>371</v>
      </c>
      <c r="B220" s="165" t="s">
        <v>312</v>
      </c>
      <c r="C220" s="165" t="s">
        <v>367</v>
      </c>
      <c r="D220" s="166">
        <v>-0.28000000000000003</v>
      </c>
      <c r="E220" s="196">
        <f>+F24+F75+F126+F177</f>
        <v>1.7050000000000003E-2</v>
      </c>
      <c r="F220" s="368">
        <f>+E221*D221+E220*(D221+D220)</f>
        <v>-3.860000000000001E-3</v>
      </c>
      <c r="G220" s="385">
        <f>+E221*D220</f>
        <v>-1.624E-3</v>
      </c>
      <c r="H220" s="496"/>
    </row>
    <row r="221" spans="1:8">
      <c r="A221" s="164" t="s">
        <v>371</v>
      </c>
      <c r="B221" s="165" t="s">
        <v>311</v>
      </c>
      <c r="C221" s="165" t="s">
        <v>370</v>
      </c>
      <c r="D221" s="166">
        <v>0.04</v>
      </c>
      <c r="E221" s="196">
        <f>+F27+F78+F129+F180</f>
        <v>5.7999999999999996E-3</v>
      </c>
      <c r="F221" s="368"/>
      <c r="G221" s="385"/>
      <c r="H221" s="496">
        <f>G220*242</f>
        <v>-0.39300800000000002</v>
      </c>
    </row>
    <row r="222" spans="1:8">
      <c r="A222" s="168" t="s">
        <v>372</v>
      </c>
      <c r="B222" s="169" t="s">
        <v>312</v>
      </c>
      <c r="C222" s="169" t="s">
        <v>367</v>
      </c>
      <c r="D222" s="170">
        <v>-1.53</v>
      </c>
      <c r="E222" s="197">
        <f>+F30+F81+F132+F183</f>
        <v>2.0310000000000002E-2</v>
      </c>
      <c r="F222" s="367">
        <f>+E223*D223+E222*(D223+D222)</f>
        <v>-2.9505900000000002E-2</v>
      </c>
      <c r="G222" s="388">
        <f>+E223*D222</f>
        <v>-2.8917000000000002E-2</v>
      </c>
      <c r="H222" s="496"/>
    </row>
    <row r="223" spans="1:8">
      <c r="A223" s="168" t="s">
        <v>372</v>
      </c>
      <c r="B223" s="169" t="s">
        <v>311</v>
      </c>
      <c r="C223" s="169" t="s">
        <v>370</v>
      </c>
      <c r="D223" s="170">
        <v>0.04</v>
      </c>
      <c r="E223" s="197">
        <f>+F33+F84+F135+F186</f>
        <v>1.89E-2</v>
      </c>
      <c r="F223" s="367"/>
      <c r="G223" s="388"/>
      <c r="H223" s="496">
        <f>G222*242</f>
        <v>-6.9979140000000006</v>
      </c>
    </row>
    <row r="224" spans="1:8">
      <c r="A224" s="164" t="s">
        <v>373</v>
      </c>
      <c r="B224" s="165" t="s">
        <v>312</v>
      </c>
      <c r="C224" s="165" t="s">
        <v>367</v>
      </c>
      <c r="D224" s="166">
        <v>-3.51</v>
      </c>
      <c r="E224" s="196">
        <f>+F36+F87+F138+F189</f>
        <v>5.4000000000000003E-3</v>
      </c>
      <c r="F224" s="368">
        <f>+E225*D225+E224*(D225+D224)</f>
        <v>-1.3002000000000001E-2</v>
      </c>
      <c r="G224" s="385">
        <f>+E225*D224</f>
        <v>-4.6331999999999998E-2</v>
      </c>
      <c r="H224" s="496"/>
    </row>
    <row r="225" spans="1:8">
      <c r="A225" s="164" t="s">
        <v>373</v>
      </c>
      <c r="B225" s="165" t="s">
        <v>311</v>
      </c>
      <c r="C225" s="165" t="s">
        <v>370</v>
      </c>
      <c r="D225" s="166">
        <v>0.32</v>
      </c>
      <c r="E225" s="196">
        <f>+F39+F90+F141+F192</f>
        <v>1.32E-2</v>
      </c>
      <c r="F225" s="368"/>
      <c r="G225" s="385"/>
      <c r="H225" s="496">
        <f>G224*242</f>
        <v>-11.212344</v>
      </c>
    </row>
    <row r="226" spans="1:8">
      <c r="A226" s="168" t="s">
        <v>246</v>
      </c>
      <c r="B226" s="169" t="s">
        <v>312</v>
      </c>
      <c r="C226" s="169" t="s">
        <v>367</v>
      </c>
      <c r="D226" s="170">
        <v>-3.1</v>
      </c>
      <c r="E226" s="197">
        <f>+F42+F93+F144+F195</f>
        <v>0.1767</v>
      </c>
      <c r="F226" s="367">
        <f>+E227*D227+E226*(D227+D226)</f>
        <v>-0.48062400000000005</v>
      </c>
      <c r="G226" s="388">
        <f>+E227*D226</f>
        <v>0</v>
      </c>
      <c r="H226" s="496"/>
    </row>
    <row r="227" spans="1:8">
      <c r="A227" s="168" t="s">
        <v>246</v>
      </c>
      <c r="B227" s="169" t="s">
        <v>311</v>
      </c>
      <c r="C227" s="169" t="s">
        <v>370</v>
      </c>
      <c r="D227" s="170">
        <v>0.38</v>
      </c>
      <c r="E227" s="198">
        <f>+F45+F96+F147+F198</f>
        <v>0</v>
      </c>
      <c r="F227" s="367"/>
      <c r="G227" s="388"/>
      <c r="H227" s="496"/>
    </row>
    <row r="228" spans="1:8" s="206" customFormat="1" ht="13" thickBot="1">
      <c r="A228" s="199" t="s">
        <v>617</v>
      </c>
      <c r="B228" s="200" t="s">
        <v>311</v>
      </c>
      <c r="C228" s="200" t="s">
        <v>370</v>
      </c>
      <c r="D228" s="201">
        <v>0.11</v>
      </c>
      <c r="E228" s="202">
        <f>+F48+F99+F150+F201</f>
        <v>0.47199999999999998</v>
      </c>
      <c r="F228" s="203">
        <f>+D228*E228</f>
        <v>5.1920000000000001E-2</v>
      </c>
      <c r="G228" s="204">
        <v>0</v>
      </c>
      <c r="H228" s="497" t="s">
        <v>559</v>
      </c>
    </row>
    <row r="229" spans="1:8" s="206" customFormat="1">
      <c r="A229" s="391" t="s">
        <v>248</v>
      </c>
      <c r="B229" s="392"/>
      <c r="C229" s="392"/>
      <c r="D229" s="207" t="s">
        <v>249</v>
      </c>
      <c r="E229" s="208">
        <f>SUM(E216:E228)</f>
        <v>1.59135</v>
      </c>
      <c r="F229" s="208">
        <f>SUM(F216:F228)</f>
        <v>3.3869799999999929E-2</v>
      </c>
      <c r="G229" s="209">
        <f>SUM(G216:G228)</f>
        <v>-0.22493299999999999</v>
      </c>
      <c r="H229" s="497"/>
    </row>
    <row r="230" spans="1:8" s="206" customFormat="1" ht="13" thickBot="1">
      <c r="A230" s="393" t="s">
        <v>418</v>
      </c>
      <c r="B230" s="394"/>
      <c r="C230" s="394"/>
      <c r="D230" s="210" t="s">
        <v>249</v>
      </c>
      <c r="E230" s="211">
        <f>+E229*242</f>
        <v>385.10669999999999</v>
      </c>
      <c r="F230" s="211">
        <f>+F229*242</f>
        <v>8.1964915999999821</v>
      </c>
      <c r="G230" s="212">
        <f>+G229*242</f>
        <v>-54.433785999999998</v>
      </c>
      <c r="H230" s="497"/>
    </row>
    <row r="231" spans="1:8" s="206" customFormat="1" ht="13" thickBot="1">
      <c r="A231" s="213"/>
      <c r="B231" s="213"/>
      <c r="C231" s="213"/>
      <c r="D231" s="214"/>
      <c r="E231" s="214"/>
      <c r="F231" s="214"/>
      <c r="G231" s="214"/>
      <c r="H231" s="205"/>
    </row>
    <row r="232" spans="1:8" s="206" customFormat="1" ht="24">
      <c r="A232" s="395" t="s">
        <v>265</v>
      </c>
      <c r="B232" s="396"/>
      <c r="C232" s="215" t="s">
        <v>419</v>
      </c>
      <c r="D232" s="214"/>
      <c r="E232" s="214"/>
      <c r="F232" s="214"/>
      <c r="G232" s="214"/>
      <c r="H232" s="205"/>
    </row>
    <row r="233" spans="1:8" s="206" customFormat="1">
      <c r="A233" s="216" t="s">
        <v>250</v>
      </c>
      <c r="B233" s="217">
        <f>+E216/(E216+E217)</f>
        <v>0.44638227669102054</v>
      </c>
      <c r="C233" s="218">
        <f>+G216/$G$229</f>
        <v>0.41772438904029202</v>
      </c>
      <c r="D233" s="214"/>
      <c r="E233" s="214"/>
      <c r="F233" s="214"/>
      <c r="G233" s="214"/>
      <c r="H233" s="205"/>
    </row>
    <row r="234" spans="1:8" s="206" customFormat="1">
      <c r="A234" s="216" t="s">
        <v>438</v>
      </c>
      <c r="B234" s="217">
        <f>+E218/(E218+E219)</f>
        <v>0.25317401045556381</v>
      </c>
      <c r="C234" s="218">
        <f>+G218/$G$229</f>
        <v>0.24051606478373566</v>
      </c>
      <c r="D234" s="214"/>
      <c r="E234" s="214"/>
      <c r="F234" s="214"/>
      <c r="G234" s="214"/>
      <c r="H234" s="205"/>
    </row>
    <row r="235" spans="1:8" s="206" customFormat="1">
      <c r="A235" s="216" t="s">
        <v>439</v>
      </c>
      <c r="B235" s="217">
        <f>+E220/(E220+E221)</f>
        <v>0.74617067833698036</v>
      </c>
      <c r="C235" s="218">
        <f>+G220/$G$229</f>
        <v>7.2199277118075158E-3</v>
      </c>
      <c r="D235" s="214"/>
      <c r="E235" s="214"/>
      <c r="F235" s="214"/>
      <c r="G235" s="214"/>
      <c r="H235" s="205"/>
    </row>
    <row r="236" spans="1:8" s="206" customFormat="1">
      <c r="A236" s="216" t="s">
        <v>459</v>
      </c>
      <c r="B236" s="217">
        <f>+E222/(E222+E223)</f>
        <v>0.51798010711553177</v>
      </c>
      <c r="C236" s="218">
        <f>+G222/$G$229</f>
        <v>0.12855828179946918</v>
      </c>
      <c r="D236" s="214"/>
      <c r="E236" s="214"/>
      <c r="F236" s="214"/>
      <c r="G236" s="214"/>
      <c r="H236" s="205"/>
    </row>
    <row r="237" spans="1:8" s="206" customFormat="1">
      <c r="A237" s="216" t="s">
        <v>460</v>
      </c>
      <c r="B237" s="217">
        <f>+E224/(E224+E225)</f>
        <v>0.29032258064516131</v>
      </c>
      <c r="C237" s="218">
        <f>+G224/$G$229</f>
        <v>0.2059813366646957</v>
      </c>
      <c r="D237" s="214"/>
      <c r="E237" s="214"/>
      <c r="F237" s="214"/>
      <c r="G237" s="214"/>
      <c r="H237" s="205"/>
    </row>
    <row r="238" spans="1:8" s="206" customFormat="1">
      <c r="A238" s="216" t="s">
        <v>263</v>
      </c>
      <c r="B238" s="217">
        <f>+E226/(E226+E227)</f>
        <v>1</v>
      </c>
      <c r="C238" s="218">
        <f>+G226/$G$229</f>
        <v>0</v>
      </c>
      <c r="D238" s="214"/>
      <c r="E238" s="214"/>
      <c r="F238" s="214"/>
      <c r="G238" s="214"/>
      <c r="H238" s="205"/>
    </row>
    <row r="239" spans="1:8" s="206" customFormat="1" ht="13" thickBot="1">
      <c r="A239" s="219" t="s">
        <v>264</v>
      </c>
      <c r="B239" s="220">
        <v>0</v>
      </c>
      <c r="C239" s="221">
        <f>+G228/$G$229</f>
        <v>0</v>
      </c>
      <c r="D239" s="214"/>
      <c r="E239" s="214"/>
      <c r="F239" s="214"/>
      <c r="G239" s="214"/>
      <c r="H239" s="205"/>
    </row>
    <row r="240" spans="1:8" s="206" customFormat="1">
      <c r="A240" s="213"/>
      <c r="B240" s="213"/>
      <c r="C240" s="213"/>
      <c r="D240" s="214"/>
      <c r="E240" s="214"/>
      <c r="F240" s="214"/>
      <c r="G240" s="214"/>
      <c r="H240" s="205"/>
    </row>
    <row r="242" spans="1:6" ht="13">
      <c r="A242" s="382" t="s">
        <v>420</v>
      </c>
      <c r="B242" s="383"/>
      <c r="C242" s="383"/>
      <c r="D242" s="384"/>
      <c r="E242" s="384"/>
      <c r="F242" s="182">
        <f>D208+D157+D106+D55</f>
        <v>385.10669999999999</v>
      </c>
    </row>
    <row r="243" spans="1:6" ht="17">
      <c r="A243" s="362" t="s">
        <v>272</v>
      </c>
      <c r="B243" s="363"/>
      <c r="C243" s="363"/>
      <c r="D243" s="364"/>
      <c r="E243" s="364"/>
      <c r="F243" s="222">
        <f>D209+D158+D107+D56</f>
        <v>8.1964915999999821</v>
      </c>
    </row>
    <row r="244" spans="1:6" ht="17">
      <c r="A244" s="362" t="s">
        <v>643</v>
      </c>
      <c r="B244" s="364"/>
      <c r="C244" s="364"/>
      <c r="D244" s="364"/>
      <c r="E244" s="364"/>
      <c r="F244" s="223">
        <f>D210+D159+D108+D57</f>
        <v>-77.27858599999999</v>
      </c>
    </row>
    <row r="245" spans="1:6" ht="13">
      <c r="A245" s="386" t="s">
        <v>578</v>
      </c>
      <c r="B245" s="387"/>
      <c r="C245" s="387"/>
      <c r="D245" s="387"/>
      <c r="E245" s="387"/>
      <c r="F245" s="224">
        <f>+F244+F243</f>
        <v>-69.082094400000003</v>
      </c>
    </row>
    <row r="248" spans="1:6">
      <c r="A248" s="249"/>
    </row>
    <row r="249" spans="1:6">
      <c r="A249" s="249"/>
    </row>
    <row r="250" spans="1:6">
      <c r="A250" s="249"/>
    </row>
    <row r="251" spans="1:6">
      <c r="A251" s="249"/>
    </row>
    <row r="252" spans="1:6">
      <c r="A252" s="249"/>
    </row>
    <row r="253" spans="1:6" ht="13">
      <c r="A253" s="250"/>
    </row>
    <row r="254" spans="1:6" ht="13">
      <c r="A254" s="250"/>
    </row>
    <row r="255" spans="1:6" ht="13">
      <c r="A255" s="250"/>
    </row>
    <row r="256" spans="1:6" ht="13">
      <c r="A256" s="250"/>
    </row>
    <row r="257" spans="1:1">
      <c r="A257" s="249"/>
    </row>
    <row r="258" spans="1:1">
      <c r="A258" s="249"/>
    </row>
    <row r="259" spans="1:1">
      <c r="A259" s="249"/>
    </row>
    <row r="260" spans="1:1">
      <c r="A260" s="249"/>
    </row>
  </sheetData>
  <sheetCalcPr fullCalcOnLoad="1"/>
  <mergeCells count="186">
    <mergeCell ref="F226:F227"/>
    <mergeCell ref="G226:G227"/>
    <mergeCell ref="A229:C229"/>
    <mergeCell ref="A230:C230"/>
    <mergeCell ref="A232:B232"/>
    <mergeCell ref="F222:F223"/>
    <mergeCell ref="G222:G223"/>
    <mergeCell ref="F224:F225"/>
    <mergeCell ref="G224:G225"/>
    <mergeCell ref="F216:F217"/>
    <mergeCell ref="G216:G217"/>
    <mergeCell ref="F220:F221"/>
    <mergeCell ref="G220:G221"/>
    <mergeCell ref="A245:E245"/>
    <mergeCell ref="F218:F219"/>
    <mergeCell ref="G218:G219"/>
    <mergeCell ref="A1:F1"/>
    <mergeCell ref="A6:C6"/>
    <mergeCell ref="B12:B13"/>
    <mergeCell ref="G33:G34"/>
    <mergeCell ref="B48:B49"/>
    <mergeCell ref="B78:B79"/>
    <mergeCell ref="B96:B97"/>
    <mergeCell ref="B126:B127"/>
    <mergeCell ref="G198:G199"/>
    <mergeCell ref="B138:B139"/>
    <mergeCell ref="G144:G145"/>
    <mergeCell ref="G165:G166"/>
    <mergeCell ref="G171:G172"/>
    <mergeCell ref="G177:G178"/>
    <mergeCell ref="G183:G184"/>
    <mergeCell ref="G147:G148"/>
    <mergeCell ref="B174:B175"/>
    <mergeCell ref="H12:H13"/>
    <mergeCell ref="B15:B16"/>
    <mergeCell ref="H15:H16"/>
    <mergeCell ref="A4:C4"/>
    <mergeCell ref="A242:E242"/>
    <mergeCell ref="B24:B25"/>
    <mergeCell ref="H24:H25"/>
    <mergeCell ref="B27:B28"/>
    <mergeCell ref="H27:H28"/>
    <mergeCell ref="G27:G28"/>
    <mergeCell ref="B18:B19"/>
    <mergeCell ref="H18:H19"/>
    <mergeCell ref="B21:B22"/>
    <mergeCell ref="H21:H22"/>
    <mergeCell ref="G21:G22"/>
    <mergeCell ref="B36:B37"/>
    <mergeCell ref="H36:H37"/>
    <mergeCell ref="B39:B40"/>
    <mergeCell ref="H39:H40"/>
    <mergeCell ref="G39:G40"/>
    <mergeCell ref="B30:B31"/>
    <mergeCell ref="H30:H31"/>
    <mergeCell ref="B33:B34"/>
    <mergeCell ref="H33:H34"/>
    <mergeCell ref="H48:H49"/>
    <mergeCell ref="A56:C56"/>
    <mergeCell ref="A57:C57"/>
    <mergeCell ref="B63:B64"/>
    <mergeCell ref="H63:H64"/>
    <mergeCell ref="G48:G49"/>
    <mergeCell ref="B42:B43"/>
    <mergeCell ref="H42:H43"/>
    <mergeCell ref="B45:B46"/>
    <mergeCell ref="H45:H46"/>
    <mergeCell ref="G42:G43"/>
    <mergeCell ref="G45:G46"/>
    <mergeCell ref="H78:H79"/>
    <mergeCell ref="B81:B82"/>
    <mergeCell ref="H81:H82"/>
    <mergeCell ref="B72:B73"/>
    <mergeCell ref="H72:H73"/>
    <mergeCell ref="B75:B76"/>
    <mergeCell ref="H75:H76"/>
    <mergeCell ref="B66:B67"/>
    <mergeCell ref="H66:H67"/>
    <mergeCell ref="B69:B70"/>
    <mergeCell ref="H69:H70"/>
    <mergeCell ref="H96:H97"/>
    <mergeCell ref="B99:B100"/>
    <mergeCell ref="H99:H100"/>
    <mergeCell ref="B90:B91"/>
    <mergeCell ref="H90:H91"/>
    <mergeCell ref="B93:B94"/>
    <mergeCell ref="H93:H94"/>
    <mergeCell ref="B84:B85"/>
    <mergeCell ref="H84:H85"/>
    <mergeCell ref="B87:B88"/>
    <mergeCell ref="H87:H88"/>
    <mergeCell ref="H126:H127"/>
    <mergeCell ref="B129:B130"/>
    <mergeCell ref="H129:H130"/>
    <mergeCell ref="B120:B121"/>
    <mergeCell ref="H120:H121"/>
    <mergeCell ref="B123:B124"/>
    <mergeCell ref="H123:H124"/>
    <mergeCell ref="A107:C107"/>
    <mergeCell ref="A108:C108"/>
    <mergeCell ref="B114:B115"/>
    <mergeCell ref="H114:H115"/>
    <mergeCell ref="B117:B118"/>
    <mergeCell ref="H117:H118"/>
    <mergeCell ref="H138:H139"/>
    <mergeCell ref="B141:B142"/>
    <mergeCell ref="H141:H142"/>
    <mergeCell ref="G201:G202"/>
    <mergeCell ref="B132:B133"/>
    <mergeCell ref="H132:H133"/>
    <mergeCell ref="B135:B136"/>
    <mergeCell ref="H135:H136"/>
    <mergeCell ref="G135:G136"/>
    <mergeCell ref="G141:G142"/>
    <mergeCell ref="G150:G151"/>
    <mergeCell ref="B150:B151"/>
    <mergeCell ref="H150:H151"/>
    <mergeCell ref="A158:C158"/>
    <mergeCell ref="A159:C159"/>
    <mergeCell ref="B165:B166"/>
    <mergeCell ref="H165:H166"/>
    <mergeCell ref="B144:B145"/>
    <mergeCell ref="H144:H145"/>
    <mergeCell ref="B147:B148"/>
    <mergeCell ref="H147:H148"/>
    <mergeCell ref="H180:H181"/>
    <mergeCell ref="B183:B184"/>
    <mergeCell ref="H183:H184"/>
    <mergeCell ref="H174:H175"/>
    <mergeCell ref="B177:B178"/>
    <mergeCell ref="H177:H178"/>
    <mergeCell ref="G174:G175"/>
    <mergeCell ref="G180:G181"/>
    <mergeCell ref="B168:B169"/>
    <mergeCell ref="H168:H169"/>
    <mergeCell ref="B171:B172"/>
    <mergeCell ref="H171:H172"/>
    <mergeCell ref="G168:G169"/>
    <mergeCell ref="H198:H199"/>
    <mergeCell ref="B201:B202"/>
    <mergeCell ref="H201:H202"/>
    <mergeCell ref="G63:G64"/>
    <mergeCell ref="G69:G70"/>
    <mergeCell ref="G75:G76"/>
    <mergeCell ref="G81:G82"/>
    <mergeCell ref="G87:G88"/>
    <mergeCell ref="G93:G94"/>
    <mergeCell ref="B192:B193"/>
    <mergeCell ref="H192:H193"/>
    <mergeCell ref="B195:B196"/>
    <mergeCell ref="H195:H196"/>
    <mergeCell ref="G66:G67"/>
    <mergeCell ref="G72:G73"/>
    <mergeCell ref="G78:G79"/>
    <mergeCell ref="G84:G85"/>
    <mergeCell ref="G90:G91"/>
    <mergeCell ref="G96:G97"/>
    <mergeCell ref="B186:B187"/>
    <mergeCell ref="H186:H187"/>
    <mergeCell ref="B189:B190"/>
    <mergeCell ref="H189:H190"/>
    <mergeCell ref="G99:G100"/>
    <mergeCell ref="A209:C209"/>
    <mergeCell ref="A210:C210"/>
    <mergeCell ref="A243:E243"/>
    <mergeCell ref="A244:E244"/>
    <mergeCell ref="G12:G13"/>
    <mergeCell ref="G15:G16"/>
    <mergeCell ref="G18:G19"/>
    <mergeCell ref="G24:G25"/>
    <mergeCell ref="G30:G31"/>
    <mergeCell ref="G36:G37"/>
    <mergeCell ref="B198:B199"/>
    <mergeCell ref="G114:G115"/>
    <mergeCell ref="G120:G121"/>
    <mergeCell ref="G126:G127"/>
    <mergeCell ref="G132:G133"/>
    <mergeCell ref="G138:G139"/>
    <mergeCell ref="B180:B181"/>
    <mergeCell ref="G189:G190"/>
    <mergeCell ref="G195:G196"/>
    <mergeCell ref="G186:G187"/>
    <mergeCell ref="G192:G193"/>
    <mergeCell ref="G117:G118"/>
    <mergeCell ref="G123:G124"/>
    <mergeCell ref="G129:G130"/>
  </mergeCells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93"/>
  <sheetViews>
    <sheetView topLeftCell="A24" workbookViewId="0">
      <selection activeCell="D41" sqref="D41"/>
    </sheetView>
  </sheetViews>
  <sheetFormatPr baseColWidth="10" defaultColWidth="11" defaultRowHeight="13"/>
  <cols>
    <col min="1" max="1" width="21.28515625" customWidth="1"/>
    <col min="2" max="2" width="13.85546875" bestFit="1" customWidth="1"/>
    <col min="3" max="3" width="14.5703125" customWidth="1"/>
    <col min="4" max="4" width="12.42578125" bestFit="1" customWidth="1"/>
    <col min="5" max="5" width="10.7109375" customWidth="1"/>
    <col min="6" max="6" width="18.7109375" customWidth="1"/>
  </cols>
  <sheetData>
    <row r="1" spans="1:6" ht="16">
      <c r="A1" s="342" t="s">
        <v>513</v>
      </c>
      <c r="B1" s="343"/>
      <c r="C1" s="343"/>
      <c r="D1" s="343"/>
      <c r="E1" s="343"/>
      <c r="F1" s="343"/>
    </row>
    <row r="3" spans="1:6" ht="15">
      <c r="A3" s="61" t="s">
        <v>514</v>
      </c>
      <c r="B3" s="62"/>
      <c r="C3" s="37"/>
      <c r="D3" s="37"/>
      <c r="E3" s="38"/>
    </row>
    <row r="4" spans="1:6" ht="15">
      <c r="A4" s="41"/>
      <c r="B4" s="42" t="s">
        <v>613</v>
      </c>
      <c r="C4" s="42" t="s">
        <v>317</v>
      </c>
      <c r="D4" s="42" t="s">
        <v>318</v>
      </c>
      <c r="E4" s="5"/>
    </row>
    <row r="5" spans="1:6">
      <c r="A5" s="41" t="s">
        <v>521</v>
      </c>
      <c r="B5" s="42">
        <v>2</v>
      </c>
      <c r="C5" s="42">
        <v>2.9999999999999997E-4</v>
      </c>
      <c r="D5" s="42">
        <v>1E-4</v>
      </c>
      <c r="E5" s="5"/>
    </row>
    <row r="6" spans="1:6" ht="14" thickBot="1">
      <c r="A6" s="41" t="s">
        <v>254</v>
      </c>
      <c r="B6" s="42">
        <v>1</v>
      </c>
      <c r="C6" s="42">
        <v>25</v>
      </c>
      <c r="D6" s="42">
        <v>298</v>
      </c>
      <c r="E6" s="5"/>
    </row>
    <row r="7" spans="1:6" ht="14" thickBot="1">
      <c r="A7" s="45"/>
      <c r="B7" s="46">
        <f>B5*B6</f>
        <v>2</v>
      </c>
      <c r="C7" s="46">
        <f>C5*C6</f>
        <v>7.4999999999999997E-3</v>
      </c>
      <c r="D7" s="46">
        <f>D5*D6</f>
        <v>2.98E-2</v>
      </c>
      <c r="E7" s="40">
        <f>SUM(B7:D7)</f>
        <v>2.0372999999999997</v>
      </c>
      <c r="F7" s="11" t="s">
        <v>305</v>
      </c>
    </row>
    <row r="9" spans="1:6">
      <c r="A9" s="61" t="s">
        <v>516</v>
      </c>
      <c r="B9" s="63"/>
      <c r="C9" s="62"/>
      <c r="D9" s="38"/>
    </row>
    <row r="10" spans="1:6" ht="15">
      <c r="A10" s="41"/>
      <c r="B10" s="42" t="s">
        <v>613</v>
      </c>
      <c r="C10" s="42" t="s">
        <v>317</v>
      </c>
      <c r="D10" s="42" t="s">
        <v>318</v>
      </c>
      <c r="E10" s="5"/>
    </row>
    <row r="11" spans="1:6">
      <c r="A11" s="41" t="s">
        <v>521</v>
      </c>
      <c r="B11" s="42">
        <v>1878</v>
      </c>
      <c r="C11" s="42">
        <v>3.6999999999999998E-2</v>
      </c>
      <c r="D11" s="42">
        <v>3.5000000000000003E-2</v>
      </c>
      <c r="E11" s="5"/>
    </row>
    <row r="12" spans="1:6">
      <c r="A12" s="41" t="s">
        <v>254</v>
      </c>
      <c r="B12" s="42">
        <v>1</v>
      </c>
      <c r="C12" s="42">
        <v>25</v>
      </c>
      <c r="D12" s="42">
        <v>298</v>
      </c>
      <c r="E12" s="5"/>
    </row>
    <row r="13" spans="1:6">
      <c r="A13" s="103"/>
      <c r="B13" s="6"/>
      <c r="C13" s="6"/>
      <c r="D13" s="6"/>
      <c r="E13" s="104">
        <v>1889.36</v>
      </c>
      <c r="F13" s="11" t="s">
        <v>305</v>
      </c>
    </row>
    <row r="18" spans="1:10">
      <c r="A18" s="64" t="s">
        <v>173</v>
      </c>
      <c r="B18" s="2"/>
    </row>
    <row r="19" spans="1:10">
      <c r="A19" s="41" t="s">
        <v>319</v>
      </c>
      <c r="B19" s="43"/>
      <c r="F19" t="s">
        <v>565</v>
      </c>
      <c r="G19" t="s">
        <v>566</v>
      </c>
      <c r="H19" t="s">
        <v>567</v>
      </c>
      <c r="I19" t="s">
        <v>568</v>
      </c>
      <c r="J19" t="s">
        <v>303</v>
      </c>
    </row>
    <row r="20" spans="1:10">
      <c r="A20" s="41" t="s">
        <v>375</v>
      </c>
      <c r="B20" s="54">
        <v>10107</v>
      </c>
      <c r="C20" t="s">
        <v>611</v>
      </c>
      <c r="F20">
        <v>1</v>
      </c>
      <c r="G20" t="s">
        <v>569</v>
      </c>
      <c r="H20">
        <v>1</v>
      </c>
      <c r="I20" t="s">
        <v>570</v>
      </c>
      <c r="J20">
        <v>3.5999999999999999E-3</v>
      </c>
    </row>
    <row r="21" spans="1:10" ht="15">
      <c r="A21" s="41" t="s">
        <v>599</v>
      </c>
      <c r="B21" s="43"/>
      <c r="F21">
        <v>1</v>
      </c>
      <c r="G21" t="s">
        <v>570</v>
      </c>
      <c r="H21">
        <v>1</v>
      </c>
      <c r="I21" t="s">
        <v>569</v>
      </c>
      <c r="J21">
        <f>1/0.0036</f>
        <v>277.77777777777777</v>
      </c>
    </row>
    <row r="22" spans="1:10">
      <c r="A22" s="41" t="s">
        <v>600</v>
      </c>
      <c r="B22" s="43">
        <v>9.3259999999999996E-2</v>
      </c>
      <c r="C22" t="s">
        <v>612</v>
      </c>
      <c r="F22">
        <v>1</v>
      </c>
      <c r="G22" t="s">
        <v>304</v>
      </c>
      <c r="H22">
        <v>1</v>
      </c>
      <c r="I22" t="s">
        <v>570</v>
      </c>
      <c r="J22">
        <v>3.789E-2</v>
      </c>
    </row>
    <row r="23" spans="1:10" ht="15">
      <c r="A23" s="41" t="s">
        <v>615</v>
      </c>
      <c r="B23" s="44"/>
      <c r="F23">
        <v>1</v>
      </c>
      <c r="G23" t="s">
        <v>570</v>
      </c>
      <c r="H23">
        <v>1</v>
      </c>
      <c r="I23" t="s">
        <v>304</v>
      </c>
      <c r="J23">
        <f>1/0.03789</f>
        <v>26.392187912377935</v>
      </c>
    </row>
    <row r="24" spans="1:10">
      <c r="A24" s="41" t="s">
        <v>616</v>
      </c>
      <c r="B24" s="55">
        <v>10.72</v>
      </c>
      <c r="C24" t="s">
        <v>612</v>
      </c>
    </row>
    <row r="25" spans="1:10" ht="15">
      <c r="A25" s="41" t="s">
        <v>519</v>
      </c>
      <c r="B25" s="43"/>
    </row>
    <row r="26" spans="1:10">
      <c r="A26" s="41" t="s">
        <v>588</v>
      </c>
      <c r="B26" s="43"/>
    </row>
    <row r="27" spans="1:10" ht="15">
      <c r="A27" s="41" t="s">
        <v>520</v>
      </c>
      <c r="B27" s="43"/>
    </row>
    <row r="28" spans="1:10">
      <c r="A28" s="45" t="s">
        <v>589</v>
      </c>
      <c r="B28" s="39"/>
    </row>
    <row r="32" spans="1:10" ht="14" thickBot="1">
      <c r="A32" s="65" t="s">
        <v>255</v>
      </c>
    </row>
    <row r="33" spans="1:8" ht="16" thickBot="1">
      <c r="A33" s="50" t="s">
        <v>227</v>
      </c>
      <c r="B33" s="51" t="s">
        <v>228</v>
      </c>
      <c r="C33" s="51" t="s">
        <v>197</v>
      </c>
      <c r="D33" s="51" t="s">
        <v>198</v>
      </c>
      <c r="E33" s="51" t="s">
        <v>168</v>
      </c>
      <c r="F33" s="51" t="s">
        <v>537</v>
      </c>
      <c r="G33" s="52" t="s">
        <v>504</v>
      </c>
      <c r="H33" s="57" t="s">
        <v>524</v>
      </c>
    </row>
    <row r="34" spans="1:8" ht="15">
      <c r="A34" s="397" t="s">
        <v>538</v>
      </c>
      <c r="B34" s="66" t="s">
        <v>601</v>
      </c>
      <c r="C34" s="67">
        <v>2.0373000000000001</v>
      </c>
      <c r="D34" s="66">
        <v>637170.74899999995</v>
      </c>
      <c r="E34" s="66" t="s">
        <v>505</v>
      </c>
      <c r="F34" s="68">
        <f>D34*C34</f>
        <v>1298107.9669377001</v>
      </c>
      <c r="G34" s="69" t="s">
        <v>604</v>
      </c>
      <c r="H34" t="s">
        <v>400</v>
      </c>
    </row>
    <row r="35" spans="1:8">
      <c r="A35" s="398"/>
      <c r="B35" s="20" t="s">
        <v>602</v>
      </c>
      <c r="C35" s="53">
        <v>1889.36</v>
      </c>
      <c r="D35" s="20">
        <v>142.19999999999999</v>
      </c>
      <c r="E35" s="20">
        <f>D35*B$22</f>
        <v>13.261571999999997</v>
      </c>
      <c r="F35" s="56">
        <f>C35*E35</f>
        <v>25055.883673919994</v>
      </c>
      <c r="G35" s="399" t="s">
        <v>499</v>
      </c>
      <c r="H35" t="s">
        <v>506</v>
      </c>
    </row>
    <row r="36" spans="1:8">
      <c r="A36" s="398"/>
      <c r="B36" s="76" t="s">
        <v>603</v>
      </c>
      <c r="C36" s="53">
        <v>1889.36</v>
      </c>
      <c r="D36" s="20">
        <v>0</v>
      </c>
      <c r="E36" s="20"/>
      <c r="F36" s="56">
        <f>C36*E36</f>
        <v>0</v>
      </c>
      <c r="G36" s="400"/>
    </row>
    <row r="37" spans="1:8" ht="13" customHeight="1">
      <c r="A37" s="92" t="s">
        <v>280</v>
      </c>
      <c r="B37" s="76" t="s">
        <v>266</v>
      </c>
      <c r="C37" s="53">
        <v>1889.36</v>
      </c>
      <c r="D37" s="20"/>
      <c r="E37" s="20"/>
      <c r="F37" s="56">
        <f>C37*E37</f>
        <v>0</v>
      </c>
      <c r="G37" s="60" t="s">
        <v>500</v>
      </c>
    </row>
    <row r="38" spans="1:8" ht="15">
      <c r="A38" s="91" t="s">
        <v>425</v>
      </c>
      <c r="B38" s="70" t="s">
        <v>597</v>
      </c>
      <c r="C38" s="70">
        <v>2.04</v>
      </c>
      <c r="D38" s="70"/>
      <c r="E38" s="70" t="s">
        <v>505</v>
      </c>
      <c r="F38" s="68">
        <f>D38*C38</f>
        <v>0</v>
      </c>
      <c r="G38" s="71" t="s">
        <v>604</v>
      </c>
      <c r="H38" t="s">
        <v>507</v>
      </c>
    </row>
    <row r="39" spans="1:8" ht="15">
      <c r="A39" s="92" t="s">
        <v>302</v>
      </c>
      <c r="B39" s="93" t="s">
        <v>429</v>
      </c>
      <c r="C39" s="93">
        <v>2.04</v>
      </c>
      <c r="D39" s="93"/>
      <c r="E39" s="70" t="s">
        <v>505</v>
      </c>
      <c r="F39" s="68">
        <f>D39*C39</f>
        <v>0</v>
      </c>
      <c r="G39" s="71" t="s">
        <v>604</v>
      </c>
    </row>
    <row r="40" spans="1:8" ht="16" thickBot="1">
      <c r="A40" s="49" t="s">
        <v>595</v>
      </c>
      <c r="B40" s="72" t="s">
        <v>596</v>
      </c>
      <c r="C40" s="72">
        <v>2.04</v>
      </c>
      <c r="D40" s="72">
        <v>30744.36</v>
      </c>
      <c r="E40" s="72" t="s">
        <v>505</v>
      </c>
      <c r="F40" s="73">
        <f>D40*C40</f>
        <v>62718.494400000003</v>
      </c>
      <c r="G40" s="74" t="s">
        <v>604</v>
      </c>
    </row>
    <row r="41" spans="1:8" ht="14" thickBot="1"/>
    <row r="42" spans="1:8">
      <c r="A42" s="48" t="s">
        <v>364</v>
      </c>
      <c r="B42" s="95">
        <f>SUM(D34+D35+D36+D37+D38+D39+D40)</f>
        <v>668057.30899999989</v>
      </c>
    </row>
    <row r="43" spans="1:8" ht="15">
      <c r="A43" s="41" t="s">
        <v>365</v>
      </c>
      <c r="B43" s="96">
        <f>F34+F38+F40+F39</f>
        <v>1360826.4613377</v>
      </c>
    </row>
    <row r="44" spans="1:8" ht="16" thickBot="1">
      <c r="A44" s="45" t="s">
        <v>267</v>
      </c>
      <c r="B44" s="97">
        <f>F35+F36+F37</f>
        <v>25055.883673919994</v>
      </c>
    </row>
    <row r="45" spans="1:8">
      <c r="B45" s="102">
        <f>SUM(B43:B44)</f>
        <v>1385882.3450116201</v>
      </c>
    </row>
    <row r="47" spans="1:8">
      <c r="C47" t="s">
        <v>422</v>
      </c>
      <c r="D47" t="s">
        <v>423</v>
      </c>
      <c r="E47" t="s">
        <v>563</v>
      </c>
      <c r="F47" t="s">
        <v>564</v>
      </c>
      <c r="G47" t="s">
        <v>424</v>
      </c>
      <c r="H47" t="s">
        <v>639</v>
      </c>
    </row>
    <row r="48" spans="1:8" ht="14" thickBot="1">
      <c r="A48" s="65" t="s">
        <v>251</v>
      </c>
    </row>
    <row r="49" spans="1:7" ht="16" thickBot="1">
      <c r="A49" s="50" t="s">
        <v>227</v>
      </c>
      <c r="B49" s="51" t="s">
        <v>228</v>
      </c>
      <c r="C49" s="51" t="s">
        <v>197</v>
      </c>
      <c r="D49" s="51" t="s">
        <v>198</v>
      </c>
      <c r="E49" s="51" t="s">
        <v>168</v>
      </c>
      <c r="F49" s="51" t="s">
        <v>535</v>
      </c>
      <c r="G49" s="52" t="s">
        <v>504</v>
      </c>
    </row>
    <row r="50" spans="1:7" ht="15">
      <c r="A50" s="397" t="s">
        <v>508</v>
      </c>
      <c r="B50" s="66" t="s">
        <v>601</v>
      </c>
      <c r="C50" s="67">
        <v>2.0373000000000001</v>
      </c>
      <c r="D50" s="66">
        <v>372745.4</v>
      </c>
      <c r="E50" s="66" t="s">
        <v>505</v>
      </c>
      <c r="F50" s="68">
        <f>D50*C50</f>
        <v>759394.20342000003</v>
      </c>
      <c r="G50" s="69" t="s">
        <v>604</v>
      </c>
    </row>
    <row r="51" spans="1:7">
      <c r="A51" s="398"/>
      <c r="B51" s="20" t="s">
        <v>602</v>
      </c>
      <c r="C51" s="53">
        <v>1889.36</v>
      </c>
      <c r="D51" s="20">
        <v>1273109</v>
      </c>
      <c r="E51" s="20">
        <f>D51*B$22</f>
        <v>118730.14533999999</v>
      </c>
      <c r="F51" s="56">
        <f>C51*E51</f>
        <v>224323987.39958236</v>
      </c>
      <c r="G51" s="399" t="s">
        <v>499</v>
      </c>
    </row>
    <row r="52" spans="1:7">
      <c r="A52" s="398"/>
      <c r="B52" s="76" t="s">
        <v>603</v>
      </c>
      <c r="C52" s="53">
        <v>1889.36</v>
      </c>
      <c r="D52" s="20">
        <v>0</v>
      </c>
      <c r="E52" s="20"/>
      <c r="F52" s="56">
        <f>C52*E52</f>
        <v>0</v>
      </c>
      <c r="G52" s="400"/>
    </row>
    <row r="53" spans="1:7">
      <c r="A53" s="92" t="s">
        <v>280</v>
      </c>
      <c r="B53" s="76" t="s">
        <v>428</v>
      </c>
      <c r="C53" s="53">
        <v>1889.36</v>
      </c>
      <c r="D53" s="20"/>
      <c r="E53" s="20"/>
      <c r="F53" s="56">
        <f>C53*E53</f>
        <v>0</v>
      </c>
      <c r="G53" s="60" t="s">
        <v>500</v>
      </c>
    </row>
    <row r="54" spans="1:7" ht="15">
      <c r="A54" s="59" t="s">
        <v>425</v>
      </c>
      <c r="B54" s="70" t="s">
        <v>597</v>
      </c>
      <c r="C54" s="70">
        <v>2.04</v>
      </c>
      <c r="D54" s="70">
        <v>4368</v>
      </c>
      <c r="E54" s="70" t="s">
        <v>505</v>
      </c>
      <c r="F54" s="68">
        <f>D54*C54</f>
        <v>8910.7199999999993</v>
      </c>
      <c r="G54" s="71" t="s">
        <v>604</v>
      </c>
    </row>
    <row r="55" spans="1:7" ht="15">
      <c r="A55" s="94" t="s">
        <v>430</v>
      </c>
      <c r="B55" s="93" t="s">
        <v>429</v>
      </c>
      <c r="C55" s="93">
        <v>2.04</v>
      </c>
      <c r="D55" s="93">
        <v>107910.2</v>
      </c>
      <c r="E55" s="70" t="s">
        <v>505</v>
      </c>
      <c r="F55" s="68">
        <f>D55*C55</f>
        <v>220136.80799999999</v>
      </c>
      <c r="G55" s="71" t="s">
        <v>604</v>
      </c>
    </row>
    <row r="56" spans="1:7" ht="16" thickBot="1">
      <c r="A56" s="49" t="s">
        <v>595</v>
      </c>
      <c r="B56" s="72" t="s">
        <v>596</v>
      </c>
      <c r="C56" s="72">
        <v>2.04</v>
      </c>
      <c r="D56" s="72">
        <v>109971.12</v>
      </c>
      <c r="E56" s="72" t="s">
        <v>505</v>
      </c>
      <c r="F56" s="73">
        <f>D56*C56</f>
        <v>224341.08479999998</v>
      </c>
      <c r="G56" s="74" t="s">
        <v>604</v>
      </c>
    </row>
    <row r="57" spans="1:7" ht="14" thickBot="1"/>
    <row r="58" spans="1:7">
      <c r="A58" s="48" t="s">
        <v>364</v>
      </c>
      <c r="B58" s="95">
        <f>D50+D51+D52+D53+D54+D55+D56</f>
        <v>1868103.7199999997</v>
      </c>
    </row>
    <row r="59" spans="1:7" ht="15">
      <c r="A59" s="41" t="s">
        <v>365</v>
      </c>
      <c r="B59" s="96">
        <f>F50+F54+F56+F55</f>
        <v>1212782.8162199999</v>
      </c>
    </row>
    <row r="60" spans="1:7" ht="16" thickBot="1">
      <c r="A60" s="45" t="s">
        <v>267</v>
      </c>
      <c r="B60" s="97">
        <f>F51+F52+F53</f>
        <v>224323987.39958236</v>
      </c>
      <c r="C60" s="75"/>
    </row>
    <row r="61" spans="1:7">
      <c r="B61" s="102">
        <f>SUM(B59:B60)</f>
        <v>225536770.21580234</v>
      </c>
    </row>
    <row r="64" spans="1:7" ht="14" thickBot="1">
      <c r="A64" s="65" t="s">
        <v>252</v>
      </c>
    </row>
    <row r="65" spans="1:7" ht="16" thickBot="1">
      <c r="A65" s="50" t="s">
        <v>227</v>
      </c>
      <c r="B65" s="51" t="s">
        <v>228</v>
      </c>
      <c r="C65" s="51" t="s">
        <v>197</v>
      </c>
      <c r="D65" s="51" t="s">
        <v>198</v>
      </c>
      <c r="E65" s="51" t="s">
        <v>168</v>
      </c>
      <c r="F65" s="51" t="s">
        <v>503</v>
      </c>
      <c r="G65" s="52" t="s">
        <v>504</v>
      </c>
    </row>
    <row r="66" spans="1:7" ht="15">
      <c r="A66" s="397" t="s">
        <v>508</v>
      </c>
      <c r="B66" s="66" t="s">
        <v>601</v>
      </c>
      <c r="C66" s="67">
        <v>2.0373000000000001</v>
      </c>
      <c r="D66" s="66">
        <v>609553.30000000005</v>
      </c>
      <c r="E66" s="66" t="s">
        <v>505</v>
      </c>
      <c r="F66" s="68">
        <f>D66*C66</f>
        <v>1241842.9380900001</v>
      </c>
      <c r="G66" s="69" t="s">
        <v>604</v>
      </c>
    </row>
    <row r="67" spans="1:7">
      <c r="A67" s="398"/>
      <c r="B67" s="20" t="s">
        <v>602</v>
      </c>
      <c r="C67" s="53">
        <v>1889.36</v>
      </c>
      <c r="D67" s="20">
        <v>407292.9</v>
      </c>
      <c r="E67" s="20">
        <f>D67*B$22</f>
        <v>37984.135854</v>
      </c>
      <c r="F67" s="56">
        <f>C67*E67</f>
        <v>71765706.917113438</v>
      </c>
      <c r="G67" s="399" t="s">
        <v>499</v>
      </c>
    </row>
    <row r="68" spans="1:7">
      <c r="A68" s="398"/>
      <c r="B68" s="76" t="s">
        <v>603</v>
      </c>
      <c r="C68" s="90">
        <v>1889.36</v>
      </c>
      <c r="D68" s="20">
        <v>875528.9</v>
      </c>
      <c r="E68" s="76"/>
      <c r="F68" s="98">
        <f>C68*E68</f>
        <v>0</v>
      </c>
      <c r="G68" s="400"/>
    </row>
    <row r="69" spans="1:7">
      <c r="A69" s="94" t="s">
        <v>280</v>
      </c>
      <c r="B69" s="76" t="s">
        <v>426</v>
      </c>
      <c r="C69" s="90">
        <v>1889.36</v>
      </c>
      <c r="D69" s="89">
        <v>16632</v>
      </c>
      <c r="E69" s="76"/>
      <c r="F69" s="98">
        <f>C69*E69</f>
        <v>0</v>
      </c>
      <c r="G69" s="60" t="s">
        <v>500</v>
      </c>
    </row>
    <row r="70" spans="1:7" ht="15">
      <c r="A70" s="91" t="s">
        <v>301</v>
      </c>
      <c r="B70" s="70" t="s">
        <v>597</v>
      </c>
      <c r="C70" s="70">
        <v>2.04</v>
      </c>
      <c r="D70" s="70"/>
      <c r="E70" s="70" t="s">
        <v>505</v>
      </c>
      <c r="F70" s="68">
        <f>D70*C70</f>
        <v>0</v>
      </c>
      <c r="G70" s="71" t="s">
        <v>604</v>
      </c>
    </row>
    <row r="71" spans="1:7" ht="15">
      <c r="A71" s="94" t="s">
        <v>430</v>
      </c>
      <c r="B71" s="93" t="s">
        <v>429</v>
      </c>
      <c r="C71" s="70">
        <v>2.04</v>
      </c>
      <c r="D71" s="93">
        <v>1447975</v>
      </c>
      <c r="E71" s="93" t="s">
        <v>536</v>
      </c>
      <c r="F71" s="68">
        <f>D71*C71</f>
        <v>2953869</v>
      </c>
      <c r="G71" s="71" t="s">
        <v>604</v>
      </c>
    </row>
    <row r="72" spans="1:7" ht="16" thickBot="1">
      <c r="A72" s="49" t="s">
        <v>595</v>
      </c>
      <c r="B72" s="72" t="s">
        <v>596</v>
      </c>
      <c r="C72" s="72">
        <v>2.04</v>
      </c>
      <c r="D72" s="72">
        <v>42377.22</v>
      </c>
      <c r="E72" s="72" t="s">
        <v>505</v>
      </c>
      <c r="F72" s="73">
        <f>D72*C72</f>
        <v>86449.5288</v>
      </c>
      <c r="G72" s="74" t="s">
        <v>604</v>
      </c>
    </row>
    <row r="73" spans="1:7" ht="14" thickBot="1"/>
    <row r="74" spans="1:7">
      <c r="A74" s="48" t="s">
        <v>364</v>
      </c>
      <c r="B74" s="95">
        <f>SUM(D66+D67+D68+D69+D71+D70+D72)</f>
        <v>3399359.3200000003</v>
      </c>
    </row>
    <row r="75" spans="1:7" ht="15">
      <c r="A75" s="41" t="s">
        <v>365</v>
      </c>
      <c r="B75" s="96">
        <f>F66+F70+F71+F72</f>
        <v>4282161.4668900007</v>
      </c>
    </row>
    <row r="76" spans="1:7" ht="16" thickBot="1">
      <c r="A76" s="45" t="s">
        <v>267</v>
      </c>
      <c r="B76" s="97">
        <f>F67+F68+F69</f>
        <v>71765706.917113438</v>
      </c>
    </row>
    <row r="77" spans="1:7">
      <c r="B77" s="102">
        <f>SUM(B74:B76)</f>
        <v>79447227.704003438</v>
      </c>
    </row>
    <row r="80" spans="1:7" ht="14" thickBot="1">
      <c r="A80" s="65" t="s">
        <v>253</v>
      </c>
    </row>
    <row r="81" spans="1:7" ht="16" thickBot="1">
      <c r="A81" s="50" t="s">
        <v>227</v>
      </c>
      <c r="B81" s="51" t="s">
        <v>228</v>
      </c>
      <c r="C81" s="51" t="s">
        <v>197</v>
      </c>
      <c r="D81" s="51" t="s">
        <v>198</v>
      </c>
      <c r="E81" s="51" t="s">
        <v>168</v>
      </c>
      <c r="F81" s="51" t="s">
        <v>537</v>
      </c>
      <c r="G81" s="52" t="s">
        <v>504</v>
      </c>
    </row>
    <row r="82" spans="1:7" ht="15">
      <c r="A82" s="397" t="s">
        <v>508</v>
      </c>
      <c r="B82" s="66" t="s">
        <v>601</v>
      </c>
      <c r="C82" s="67">
        <v>2.0373000000000001</v>
      </c>
      <c r="D82" s="66">
        <v>1030408.203</v>
      </c>
      <c r="E82" s="66" t="s">
        <v>505</v>
      </c>
      <c r="F82" s="68">
        <f>D82*C82</f>
        <v>2099250.6319718999</v>
      </c>
      <c r="G82" s="69" t="s">
        <v>604</v>
      </c>
    </row>
    <row r="83" spans="1:7">
      <c r="A83" s="398"/>
      <c r="B83" s="20" t="s">
        <v>602</v>
      </c>
      <c r="C83" s="53">
        <v>1889.36</v>
      </c>
      <c r="D83" s="20">
        <v>640433.22569999995</v>
      </c>
      <c r="E83" s="20">
        <f>D83*B$22</f>
        <v>59726.802628781996</v>
      </c>
      <c r="F83" s="56">
        <f>C83*E83</f>
        <v>112845431.81471555</v>
      </c>
      <c r="G83" s="399" t="s">
        <v>226</v>
      </c>
    </row>
    <row r="84" spans="1:7">
      <c r="A84" s="398"/>
      <c r="B84" s="76" t="s">
        <v>603</v>
      </c>
      <c r="C84" s="53">
        <v>1889.36</v>
      </c>
      <c r="D84" s="76">
        <v>322096.38</v>
      </c>
      <c r="E84" s="76"/>
      <c r="F84" s="98">
        <f>C84*E84</f>
        <v>0</v>
      </c>
      <c r="G84" s="400"/>
    </row>
    <row r="85" spans="1:7">
      <c r="A85" s="59" t="s">
        <v>440</v>
      </c>
      <c r="B85" s="76" t="s">
        <v>586</v>
      </c>
      <c r="C85" s="53">
        <v>1889.36</v>
      </c>
      <c r="D85" s="76">
        <v>22.370999999999999</v>
      </c>
      <c r="E85" s="76"/>
      <c r="F85" s="98">
        <f>C85*E85</f>
        <v>0</v>
      </c>
      <c r="G85" s="47" t="s">
        <v>515</v>
      </c>
    </row>
    <row r="86" spans="1:7" ht="15">
      <c r="A86" s="91" t="s">
        <v>583</v>
      </c>
      <c r="B86" s="70" t="s">
        <v>585</v>
      </c>
      <c r="C86" s="70">
        <v>2.04</v>
      </c>
      <c r="D86" s="70"/>
      <c r="E86" s="70" t="s">
        <v>587</v>
      </c>
      <c r="F86" s="68">
        <f>D86*C86</f>
        <v>0</v>
      </c>
      <c r="G86" s="69" t="s">
        <v>604</v>
      </c>
    </row>
    <row r="87" spans="1:7" ht="15">
      <c r="A87" s="94" t="s">
        <v>584</v>
      </c>
      <c r="B87" s="93" t="s">
        <v>429</v>
      </c>
      <c r="C87" s="70">
        <v>2.04</v>
      </c>
      <c r="D87" s="93">
        <v>20.50675</v>
      </c>
      <c r="E87" s="93" t="s">
        <v>427</v>
      </c>
      <c r="F87" s="68">
        <f>D87*C87</f>
        <v>41.833770000000001</v>
      </c>
      <c r="G87" s="69" t="s">
        <v>604</v>
      </c>
    </row>
    <row r="88" spans="1:7" ht="16" thickBot="1">
      <c r="A88" s="49" t="s">
        <v>595</v>
      </c>
      <c r="B88" s="72" t="s">
        <v>596</v>
      </c>
      <c r="C88" s="72">
        <v>2.04</v>
      </c>
      <c r="D88" s="72">
        <v>51885.96</v>
      </c>
      <c r="E88" s="72" t="s">
        <v>505</v>
      </c>
      <c r="F88" s="73">
        <f>D88*C88</f>
        <v>105847.3584</v>
      </c>
      <c r="G88" s="74" t="s">
        <v>604</v>
      </c>
    </row>
    <row r="89" spans="1:7" ht="14" thickBot="1"/>
    <row r="90" spans="1:7">
      <c r="A90" s="48" t="s">
        <v>364</v>
      </c>
      <c r="B90" s="99">
        <f>D82+D83+D84+D85+D86+D87+D88</f>
        <v>2044866.6464499999</v>
      </c>
    </row>
    <row r="91" spans="1:7" ht="15">
      <c r="A91" s="41" t="s">
        <v>365</v>
      </c>
      <c r="B91" s="100">
        <f>F82+F86+F87+F88</f>
        <v>2205139.8241418996</v>
      </c>
    </row>
    <row r="92" spans="1:7" ht="16" thickBot="1">
      <c r="A92" s="45" t="s">
        <v>267</v>
      </c>
      <c r="B92" s="101">
        <f>F83+F84+F85</f>
        <v>112845431.81471555</v>
      </c>
    </row>
    <row r="93" spans="1:7">
      <c r="B93" s="102">
        <f>SUM(B91:B92)</f>
        <v>115050571.63885745</v>
      </c>
    </row>
  </sheetData>
  <sheetCalcPr fullCalcOnLoad="1"/>
  <mergeCells count="9">
    <mergeCell ref="A1:F1"/>
    <mergeCell ref="A34:A36"/>
    <mergeCell ref="G35:G36"/>
    <mergeCell ref="A82:A84"/>
    <mergeCell ref="G83:G84"/>
    <mergeCell ref="A50:A52"/>
    <mergeCell ref="G51:G52"/>
    <mergeCell ref="A66:A68"/>
    <mergeCell ref="G67:G68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66"/>
  <sheetViews>
    <sheetView topLeftCell="A9" workbookViewId="0">
      <selection activeCell="G37" sqref="G37"/>
    </sheetView>
  </sheetViews>
  <sheetFormatPr baseColWidth="10" defaultRowHeight="12"/>
  <cols>
    <col min="1" max="1" width="16.42578125" style="105" bestFit="1" customWidth="1"/>
    <col min="2" max="2" width="22.140625" style="105" customWidth="1"/>
    <col min="3" max="3" width="13.5703125" style="105" bestFit="1" customWidth="1"/>
    <col min="4" max="4" width="12" style="105" bestFit="1" customWidth="1"/>
    <col min="5" max="5" width="10.5703125" style="105" bestFit="1" customWidth="1"/>
    <col min="6" max="8" width="12" style="105" bestFit="1" customWidth="1"/>
    <col min="9" max="16384" width="10.7109375" style="105"/>
  </cols>
  <sheetData>
    <row r="1" spans="1:6" ht="15">
      <c r="A1" s="389" t="s">
        <v>293</v>
      </c>
      <c r="B1" s="390"/>
      <c r="C1" s="390"/>
      <c r="D1" s="390"/>
      <c r="E1" s="390"/>
      <c r="F1" s="390"/>
    </row>
    <row r="3" spans="1:6">
      <c r="A3" s="106" t="s">
        <v>579</v>
      </c>
      <c r="B3" s="107"/>
      <c r="C3" s="108"/>
    </row>
    <row r="4" spans="1:6">
      <c r="A4" s="109" t="s">
        <v>637</v>
      </c>
      <c r="B4" s="110" t="s">
        <v>458</v>
      </c>
      <c r="C4" s="111" t="s">
        <v>523</v>
      </c>
    </row>
    <row r="5" spans="1:6">
      <c r="A5" s="435" t="s">
        <v>634</v>
      </c>
      <c r="B5" s="112" t="s">
        <v>635</v>
      </c>
      <c r="C5" s="113">
        <v>0.34410000000000002</v>
      </c>
    </row>
    <row r="6" spans="1:6">
      <c r="A6" s="435"/>
      <c r="B6" s="112" t="s">
        <v>636</v>
      </c>
      <c r="C6" s="113">
        <v>344.1</v>
      </c>
    </row>
    <row r="7" spans="1:6">
      <c r="A7" s="435" t="s">
        <v>638</v>
      </c>
      <c r="B7" s="112" t="s">
        <v>635</v>
      </c>
      <c r="C7" s="113">
        <v>0.70850000000000002</v>
      </c>
    </row>
    <row r="8" spans="1:6">
      <c r="A8" s="436"/>
      <c r="B8" s="114" t="s">
        <v>636</v>
      </c>
      <c r="C8" s="115">
        <v>708.5</v>
      </c>
    </row>
    <row r="10" spans="1:6">
      <c r="A10" s="106" t="s">
        <v>473</v>
      </c>
      <c r="B10" s="107"/>
      <c r="C10" s="107"/>
      <c r="D10" s="107"/>
      <c r="E10" s="108"/>
    </row>
    <row r="11" spans="1:6">
      <c r="A11" s="109" t="s">
        <v>474</v>
      </c>
      <c r="B11" s="110" t="s">
        <v>402</v>
      </c>
      <c r="C11" s="110" t="s">
        <v>214</v>
      </c>
      <c r="D11" s="110" t="s">
        <v>402</v>
      </c>
      <c r="E11" s="111" t="s">
        <v>215</v>
      </c>
    </row>
    <row r="12" spans="1:6">
      <c r="A12" s="116">
        <v>1</v>
      </c>
      <c r="B12" s="114" t="s">
        <v>233</v>
      </c>
      <c r="C12" s="114">
        <v>1</v>
      </c>
      <c r="D12" s="114" t="s">
        <v>363</v>
      </c>
      <c r="E12" s="115">
        <v>1E-3</v>
      </c>
    </row>
    <row r="16" spans="1:6" ht="13" thickBot="1">
      <c r="A16" s="117" t="s">
        <v>234</v>
      </c>
      <c r="B16" s="118"/>
      <c r="C16" s="118"/>
      <c r="D16" s="118"/>
    </row>
    <row r="17" spans="1:12" ht="25" hidden="1" thickBot="1">
      <c r="A17" s="132" t="s">
        <v>525</v>
      </c>
      <c r="B17" s="133" t="s">
        <v>378</v>
      </c>
      <c r="C17" s="133" t="s">
        <v>158</v>
      </c>
      <c r="D17" s="133" t="s">
        <v>229</v>
      </c>
      <c r="E17" s="134" t="s">
        <v>230</v>
      </c>
      <c r="F17" s="134" t="s">
        <v>199</v>
      </c>
      <c r="G17" s="134" t="s">
        <v>232</v>
      </c>
      <c r="H17" s="133" t="s">
        <v>169</v>
      </c>
      <c r="I17" s="135" t="s">
        <v>170</v>
      </c>
      <c r="L17" s="119"/>
    </row>
    <row r="18" spans="1:12" hidden="1">
      <c r="A18" s="412" t="s">
        <v>492</v>
      </c>
      <c r="B18" s="136" t="s">
        <v>171</v>
      </c>
      <c r="C18" s="136">
        <v>5562</v>
      </c>
      <c r="D18" s="420">
        <f>SUM(C18:C26)</f>
        <v>1445853.878558995</v>
      </c>
      <c r="E18" s="136">
        <f t="shared" ref="E18:E32" si="0">C18*E$12</f>
        <v>5.5620000000000003</v>
      </c>
      <c r="F18" s="136">
        <v>0.34410000000000002</v>
      </c>
      <c r="G18" s="136">
        <v>0.70850000000000002</v>
      </c>
      <c r="H18" s="136">
        <f>(E18*F18)+(G18*E18)</f>
        <v>5.8545612000000009</v>
      </c>
      <c r="I18" s="414">
        <f>SUM(H18:H26)</f>
        <v>1521.9057925711979</v>
      </c>
      <c r="L18" s="112"/>
    </row>
    <row r="19" spans="1:12" hidden="1">
      <c r="A19" s="413"/>
      <c r="B19" s="120" t="s">
        <v>172</v>
      </c>
      <c r="C19" s="120">
        <v>18035.809290000001</v>
      </c>
      <c r="D19" s="420"/>
      <c r="E19" s="120">
        <f t="shared" si="0"/>
        <v>18.035809290000003</v>
      </c>
      <c r="F19" s="120">
        <v>0.34410000000000002</v>
      </c>
      <c r="G19" s="120">
        <v>0.70850000000000002</v>
      </c>
      <c r="H19" s="120">
        <f>(E19*F19)+(G19*E19)</f>
        <v>18.984492858654004</v>
      </c>
      <c r="I19" s="415"/>
      <c r="L19" s="112"/>
    </row>
    <row r="20" spans="1:12" hidden="1">
      <c r="A20" s="413"/>
      <c r="B20" s="120" t="s">
        <v>618</v>
      </c>
      <c r="C20" s="120">
        <v>1854</v>
      </c>
      <c r="D20" s="420"/>
      <c r="E20" s="120">
        <f t="shared" si="0"/>
        <v>1.8540000000000001</v>
      </c>
      <c r="F20" s="120">
        <v>0.34410000000000002</v>
      </c>
      <c r="G20" s="120">
        <v>0.70850000000000002</v>
      </c>
      <c r="H20" s="120">
        <f t="shared" ref="H20:H32" si="1">(E20*F20)+(G20*E20)</f>
        <v>1.9515204000000002</v>
      </c>
      <c r="I20" s="415"/>
      <c r="L20" s="112"/>
    </row>
    <row r="21" spans="1:12" hidden="1">
      <c r="A21" s="413"/>
      <c r="B21" s="120" t="s">
        <v>157</v>
      </c>
      <c r="C21" s="120">
        <v>170161.75</v>
      </c>
      <c r="D21" s="420"/>
      <c r="E21" s="120">
        <f t="shared" si="0"/>
        <v>170.16175000000001</v>
      </c>
      <c r="F21" s="120">
        <v>0.34410000000000002</v>
      </c>
      <c r="G21" s="120">
        <v>0.70850000000000002</v>
      </c>
      <c r="H21" s="120">
        <f t="shared" si="1"/>
        <v>179.11225805000004</v>
      </c>
      <c r="I21" s="415"/>
      <c r="L21" s="112"/>
    </row>
    <row r="22" spans="1:12" hidden="1">
      <c r="A22" s="413"/>
      <c r="B22" s="120" t="s">
        <v>489</v>
      </c>
      <c r="C22" s="120">
        <v>1227055.2631578948</v>
      </c>
      <c r="D22" s="420"/>
      <c r="E22" s="120">
        <f t="shared" si="0"/>
        <v>1227.0552631578948</v>
      </c>
      <c r="F22" s="120">
        <v>0.34410000000000002</v>
      </c>
      <c r="G22" s="120">
        <v>0.70850000000000002</v>
      </c>
      <c r="H22" s="120">
        <f t="shared" si="1"/>
        <v>1291.5983700000002</v>
      </c>
      <c r="I22" s="415"/>
      <c r="L22" s="112"/>
    </row>
    <row r="23" spans="1:12" hidden="1">
      <c r="A23" s="413"/>
      <c r="B23" s="120" t="s">
        <v>619</v>
      </c>
      <c r="C23" s="120">
        <v>907.91111109999997</v>
      </c>
      <c r="D23" s="420"/>
      <c r="E23" s="120">
        <f t="shared" si="0"/>
        <v>0.9079111111</v>
      </c>
      <c r="F23" s="120">
        <v>0.34410000000000002</v>
      </c>
      <c r="G23" s="120">
        <v>0.70850000000000002</v>
      </c>
      <c r="H23" s="120">
        <f t="shared" si="1"/>
        <v>0.95566723554386002</v>
      </c>
      <c r="I23" s="415"/>
      <c r="L23" s="112"/>
    </row>
    <row r="24" spans="1:12" hidden="1">
      <c r="A24" s="413"/>
      <c r="B24" s="120" t="s">
        <v>490</v>
      </c>
      <c r="C24" s="120">
        <v>371.52</v>
      </c>
      <c r="D24" s="420"/>
      <c r="E24" s="120">
        <f t="shared" si="0"/>
        <v>0.37152000000000002</v>
      </c>
      <c r="F24" s="120">
        <v>0.34410000000000002</v>
      </c>
      <c r="G24" s="120">
        <v>0.70850000000000002</v>
      </c>
      <c r="H24" s="120">
        <f t="shared" si="1"/>
        <v>0.39106195200000005</v>
      </c>
      <c r="I24" s="415"/>
      <c r="L24" s="112"/>
    </row>
    <row r="25" spans="1:12" hidden="1">
      <c r="A25" s="413"/>
      <c r="B25" s="120" t="s">
        <v>485</v>
      </c>
      <c r="C25" s="120">
        <v>4098</v>
      </c>
      <c r="D25" s="420"/>
      <c r="E25" s="120">
        <f t="shared" si="0"/>
        <v>4.0979999999999999</v>
      </c>
      <c r="F25" s="120">
        <v>0.34410000000000002</v>
      </c>
      <c r="G25" s="120">
        <v>0.70850000000000002</v>
      </c>
      <c r="H25" s="120">
        <f t="shared" si="1"/>
        <v>4.3135548000000004</v>
      </c>
      <c r="I25" s="415"/>
      <c r="L25" s="112"/>
    </row>
    <row r="26" spans="1:12" hidden="1">
      <c r="A26" s="413"/>
      <c r="B26" s="120" t="s">
        <v>486</v>
      </c>
      <c r="C26" s="120">
        <v>17807.625</v>
      </c>
      <c r="D26" s="421"/>
      <c r="E26" s="120">
        <f t="shared" si="0"/>
        <v>17.807625000000002</v>
      </c>
      <c r="F26" s="120">
        <v>0.34410000000000002</v>
      </c>
      <c r="G26" s="120">
        <v>0.70850000000000002</v>
      </c>
      <c r="H26" s="120">
        <f t="shared" si="1"/>
        <v>18.744306075000001</v>
      </c>
      <c r="I26" s="415"/>
      <c r="L26" s="112"/>
    </row>
    <row r="27" spans="1:12" hidden="1">
      <c r="A27" s="418" t="s">
        <v>376</v>
      </c>
      <c r="B27" s="121" t="s">
        <v>455</v>
      </c>
      <c r="C27" s="121">
        <v>178974.25</v>
      </c>
      <c r="D27" s="422">
        <f>SUM(C27:C30)</f>
        <v>847863.8601561269</v>
      </c>
      <c r="E27" s="121">
        <f t="shared" si="0"/>
        <v>178.97425000000001</v>
      </c>
      <c r="F27" s="121">
        <v>0.34410000000000002</v>
      </c>
      <c r="G27" s="121">
        <v>0.70850000000000002</v>
      </c>
      <c r="H27" s="122">
        <f t="shared" si="1"/>
        <v>188.38829555000001</v>
      </c>
      <c r="I27" s="431">
        <f>SUM(H27:H30)</f>
        <v>892.46149920033929</v>
      </c>
      <c r="L27" s="112"/>
    </row>
    <row r="28" spans="1:12" hidden="1">
      <c r="A28" s="419"/>
      <c r="B28" s="121" t="s">
        <v>262</v>
      </c>
      <c r="C28" s="121">
        <v>1042.8</v>
      </c>
      <c r="D28" s="417"/>
      <c r="E28" s="121">
        <f t="shared" si="0"/>
        <v>1.0427999999999999</v>
      </c>
      <c r="F28" s="121">
        <v>0.34410000000000002</v>
      </c>
      <c r="G28" s="121">
        <v>0.70850000000000002</v>
      </c>
      <c r="H28" s="122">
        <f t="shared" si="1"/>
        <v>1.09765128</v>
      </c>
      <c r="I28" s="431"/>
      <c r="L28" s="112"/>
    </row>
    <row r="29" spans="1:12" hidden="1">
      <c r="A29" s="419"/>
      <c r="B29" s="121" t="s">
        <v>155</v>
      </c>
      <c r="C29" s="121">
        <v>142.05912660000001</v>
      </c>
      <c r="D29" s="417"/>
      <c r="E29" s="121">
        <f t="shared" si="0"/>
        <v>0.14205912660000003</v>
      </c>
      <c r="F29" s="121">
        <v>0.34410000000000002</v>
      </c>
      <c r="G29" s="121">
        <v>0.70850000000000002</v>
      </c>
      <c r="H29" s="122">
        <f t="shared" si="1"/>
        <v>0.14953143665916005</v>
      </c>
      <c r="I29" s="431"/>
      <c r="L29" s="112"/>
    </row>
    <row r="30" spans="1:12" hidden="1">
      <c r="A30" s="441"/>
      <c r="B30" s="121" t="s">
        <v>156</v>
      </c>
      <c r="C30" s="121">
        <v>667704.75102952693</v>
      </c>
      <c r="D30" s="375"/>
      <c r="E30" s="121">
        <f t="shared" si="0"/>
        <v>667.70475102952696</v>
      </c>
      <c r="F30" s="121">
        <v>0.34410000000000002</v>
      </c>
      <c r="G30" s="121">
        <v>0.70850000000000002</v>
      </c>
      <c r="H30" s="122">
        <f t="shared" si="1"/>
        <v>702.82602093368007</v>
      </c>
      <c r="I30" s="431"/>
      <c r="L30" s="112"/>
    </row>
    <row r="31" spans="1:12" hidden="1">
      <c r="A31" s="123" t="s">
        <v>377</v>
      </c>
      <c r="B31" s="120" t="s">
        <v>456</v>
      </c>
      <c r="C31" s="120">
        <v>455812</v>
      </c>
      <c r="D31" s="120">
        <f>SUM(C31)</f>
        <v>455812</v>
      </c>
      <c r="E31" s="120">
        <f t="shared" si="0"/>
        <v>455.81200000000001</v>
      </c>
      <c r="F31" s="120">
        <v>0.34410000000000002</v>
      </c>
      <c r="G31" s="120">
        <v>0.70850000000000002</v>
      </c>
      <c r="H31" s="120">
        <f t="shared" si="1"/>
        <v>479.78771120000005</v>
      </c>
      <c r="I31" s="124">
        <f>H31</f>
        <v>479.78771120000005</v>
      </c>
      <c r="L31" s="112"/>
    </row>
    <row r="32" spans="1:12" ht="13" hidden="1" thickBot="1">
      <c r="A32" s="125" t="s">
        <v>620</v>
      </c>
      <c r="B32" s="126"/>
      <c r="C32" s="126">
        <v>147675.62513957545</v>
      </c>
      <c r="D32" s="126">
        <f>SUM(C32)</f>
        <v>147675.62513957545</v>
      </c>
      <c r="E32" s="126">
        <f t="shared" si="0"/>
        <v>147.67562513957546</v>
      </c>
      <c r="F32" s="126">
        <v>0.34410000000000002</v>
      </c>
      <c r="G32" s="126">
        <v>0.70850000000000002</v>
      </c>
      <c r="H32" s="126">
        <f t="shared" si="1"/>
        <v>155.44336302191712</v>
      </c>
      <c r="I32" s="127">
        <f>SUM(H32)</f>
        <v>155.44336302191712</v>
      </c>
      <c r="L32" s="112"/>
    </row>
    <row r="33" spans="1:10" hidden="1">
      <c r="A33" s="112"/>
      <c r="B33" s="112"/>
      <c r="D33" s="112"/>
      <c r="E33" s="112"/>
      <c r="F33" s="112"/>
      <c r="G33" s="128"/>
      <c r="J33" s="112"/>
    </row>
    <row r="34" spans="1:10" ht="13" hidden="1" thickBot="1">
      <c r="D34" s="112"/>
      <c r="E34" s="112"/>
      <c r="J34" s="112"/>
    </row>
    <row r="35" spans="1:10">
      <c r="A35" s="432" t="s">
        <v>160</v>
      </c>
      <c r="B35" s="433"/>
      <c r="C35" s="129">
        <f>SUM(C18:C32)</f>
        <v>2897205.3638546974</v>
      </c>
      <c r="D35" s="225"/>
      <c r="E35" s="112"/>
    </row>
    <row r="36" spans="1:10" ht="13" thickBot="1">
      <c r="A36" s="439" t="s">
        <v>289</v>
      </c>
      <c r="B36" s="440"/>
      <c r="C36" s="130">
        <f>SUM(I18:I32)</f>
        <v>3049.5983659934545</v>
      </c>
      <c r="D36" s="112"/>
      <c r="E36" s="112"/>
    </row>
    <row r="37" spans="1:10" ht="13" thickBot="1">
      <c r="A37" s="442" t="s">
        <v>290</v>
      </c>
      <c r="B37" s="443"/>
      <c r="C37" s="131">
        <f>C36*0.001</f>
        <v>3.0495983659934547</v>
      </c>
    </row>
    <row r="40" spans="1:10" ht="13" thickBot="1">
      <c r="A40" s="117" t="s">
        <v>291</v>
      </c>
      <c r="B40" s="118"/>
      <c r="C40" s="118"/>
      <c r="D40" s="118"/>
    </row>
    <row r="41" spans="1:10" ht="25" hidden="1" thickBot="1">
      <c r="A41" s="132" t="s">
        <v>525</v>
      </c>
      <c r="B41" s="133" t="s">
        <v>378</v>
      </c>
      <c r="C41" s="133" t="s">
        <v>457</v>
      </c>
      <c r="D41" s="133" t="s">
        <v>591</v>
      </c>
      <c r="E41" s="134" t="s">
        <v>592</v>
      </c>
      <c r="F41" s="134" t="s">
        <v>593</v>
      </c>
      <c r="G41" s="134" t="s">
        <v>594</v>
      </c>
      <c r="H41" s="133" t="s">
        <v>577</v>
      </c>
      <c r="I41" s="135" t="s">
        <v>561</v>
      </c>
    </row>
    <row r="42" spans="1:10" hidden="1">
      <c r="A42" s="412" t="s">
        <v>621</v>
      </c>
      <c r="B42" s="136" t="s">
        <v>622</v>
      </c>
      <c r="C42" s="136">
        <v>9236</v>
      </c>
      <c r="D42" s="416">
        <f>SUM(C42:C52)</f>
        <v>782399.1138889998</v>
      </c>
      <c r="E42" s="136">
        <f t="shared" ref="E42:E47" si="2">C42*E$12</f>
        <v>9.2360000000000007</v>
      </c>
      <c r="F42" s="136">
        <v>0.34410000000000002</v>
      </c>
      <c r="G42" s="136">
        <v>0.70850000000000002</v>
      </c>
      <c r="H42" s="136">
        <f>(E42*F42)+(G42*E42)</f>
        <v>9.7218136000000008</v>
      </c>
      <c r="I42" s="434">
        <f>SUM(H42:H52)</f>
        <v>823.5533072795613</v>
      </c>
    </row>
    <row r="43" spans="1:10" hidden="1">
      <c r="A43" s="413"/>
      <c r="B43" s="120" t="s">
        <v>623</v>
      </c>
      <c r="C43" s="120">
        <v>5795.8888889999998</v>
      </c>
      <c r="D43" s="417"/>
      <c r="E43" s="120">
        <f t="shared" si="2"/>
        <v>5.7958888889999995</v>
      </c>
      <c r="F43" s="120">
        <v>0.34410000000000002</v>
      </c>
      <c r="G43" s="120">
        <v>0.70850000000000002</v>
      </c>
      <c r="H43" s="120">
        <f t="shared" ref="H43:H47" si="3">(E43*F43)+(G43*E43)</f>
        <v>6.1007526445613998</v>
      </c>
      <c r="I43" s="425"/>
    </row>
    <row r="44" spans="1:10" hidden="1">
      <c r="A44" s="413"/>
      <c r="B44" s="120" t="s">
        <v>624</v>
      </c>
      <c r="C44" s="120">
        <v>314624.33999999997</v>
      </c>
      <c r="D44" s="417"/>
      <c r="E44" s="120">
        <f t="shared" si="2"/>
        <v>314.62433999999996</v>
      </c>
      <c r="F44" s="120">
        <v>0.34410000000000002</v>
      </c>
      <c r="G44" s="120">
        <v>0.70850000000000002</v>
      </c>
      <c r="H44" s="120">
        <f>(E44*F44)+(G44*E44)</f>
        <v>331.17358028399997</v>
      </c>
      <c r="I44" s="425"/>
    </row>
    <row r="45" spans="1:10" hidden="1">
      <c r="A45" s="413"/>
      <c r="B45" s="120" t="s">
        <v>625</v>
      </c>
      <c r="C45" s="120">
        <v>13854</v>
      </c>
      <c r="D45" s="417"/>
      <c r="E45" s="120">
        <f t="shared" si="2"/>
        <v>13.854000000000001</v>
      </c>
      <c r="F45" s="120">
        <v>0.34410000000000002</v>
      </c>
      <c r="G45" s="120">
        <v>0.70850000000000002</v>
      </c>
      <c r="H45" s="120">
        <f t="shared" si="3"/>
        <v>14.582720400000001</v>
      </c>
      <c r="I45" s="425"/>
    </row>
    <row r="46" spans="1:10" hidden="1">
      <c r="A46" s="413"/>
      <c r="B46" s="120" t="s">
        <v>283</v>
      </c>
      <c r="C46" s="120">
        <v>96978</v>
      </c>
      <c r="D46" s="417"/>
      <c r="E46" s="120">
        <f t="shared" si="2"/>
        <v>96.978000000000009</v>
      </c>
      <c r="F46" s="120">
        <v>0.34410000000000002</v>
      </c>
      <c r="G46" s="120">
        <v>0.70850000000000002</v>
      </c>
      <c r="H46" s="120">
        <f t="shared" si="3"/>
        <v>102.07904280000002</v>
      </c>
      <c r="I46" s="425"/>
    </row>
    <row r="47" spans="1:10" hidden="1">
      <c r="A47" s="413"/>
      <c r="B47" s="120" t="s">
        <v>284</v>
      </c>
      <c r="C47" s="120">
        <v>16163</v>
      </c>
      <c r="D47" s="417"/>
      <c r="E47" s="120">
        <f t="shared" si="2"/>
        <v>16.163</v>
      </c>
      <c r="F47" s="120">
        <v>0.34410000000000002</v>
      </c>
      <c r="G47" s="120">
        <v>0.70850000000000002</v>
      </c>
      <c r="H47" s="120">
        <f t="shared" si="3"/>
        <v>17.013173800000001</v>
      </c>
      <c r="I47" s="425"/>
      <c r="J47" s="105">
        <f>I42*0.001</f>
        <v>0.82355330727956133</v>
      </c>
    </row>
    <row r="48" spans="1:10" hidden="1">
      <c r="A48" s="413"/>
      <c r="B48" s="120" t="s">
        <v>285</v>
      </c>
      <c r="C48" s="120">
        <v>251657.90999999992</v>
      </c>
      <c r="D48" s="417"/>
      <c r="E48" s="120">
        <f t="shared" ref="E48:E60" si="4">C48*E$12</f>
        <v>251.65790999999993</v>
      </c>
      <c r="F48" s="120">
        <v>0.34410000000000002</v>
      </c>
      <c r="G48" s="120">
        <v>0.70850000000000002</v>
      </c>
      <c r="H48" s="120">
        <f t="shared" ref="H48:H60" si="5">(E48*F48)+(G48*E48)</f>
        <v>264.89511606599996</v>
      </c>
      <c r="I48" s="425"/>
    </row>
    <row r="49" spans="1:10" hidden="1">
      <c r="A49" s="413"/>
      <c r="B49" s="120" t="s">
        <v>454</v>
      </c>
      <c r="C49" s="120">
        <v>18472</v>
      </c>
      <c r="D49" s="417"/>
      <c r="E49" s="120">
        <f t="shared" si="4"/>
        <v>18.472000000000001</v>
      </c>
      <c r="F49" s="120">
        <v>0.34410000000000002</v>
      </c>
      <c r="G49" s="120">
        <v>0.70850000000000002</v>
      </c>
      <c r="H49" s="120">
        <f t="shared" si="5"/>
        <v>19.443627200000002</v>
      </c>
      <c r="I49" s="425"/>
    </row>
    <row r="50" spans="1:10" hidden="1">
      <c r="A50" s="413"/>
      <c r="B50" s="120" t="s">
        <v>490</v>
      </c>
      <c r="C50" s="120">
        <v>1098</v>
      </c>
      <c r="D50" s="417"/>
      <c r="E50" s="120">
        <f t="shared" si="4"/>
        <v>1.0980000000000001</v>
      </c>
      <c r="F50" s="120">
        <v>0.34410000000000002</v>
      </c>
      <c r="G50" s="120">
        <v>0.70850000000000002</v>
      </c>
      <c r="H50" s="120">
        <f t="shared" si="5"/>
        <v>1.1557548000000002</v>
      </c>
      <c r="I50" s="425"/>
    </row>
    <row r="51" spans="1:10" hidden="1">
      <c r="A51" s="413"/>
      <c r="B51" s="120" t="s">
        <v>485</v>
      </c>
      <c r="C51" s="120">
        <v>2196</v>
      </c>
      <c r="D51" s="417"/>
      <c r="E51" s="120">
        <f t="shared" si="4"/>
        <v>2.1960000000000002</v>
      </c>
      <c r="F51" s="120">
        <v>0.34410000000000002</v>
      </c>
      <c r="G51" s="120">
        <v>0.70850000000000002</v>
      </c>
      <c r="H51" s="120">
        <f t="shared" si="5"/>
        <v>2.3115096000000004</v>
      </c>
      <c r="I51" s="425"/>
    </row>
    <row r="52" spans="1:10" hidden="1">
      <c r="A52" s="251"/>
      <c r="B52" s="120" t="s">
        <v>486</v>
      </c>
      <c r="C52" s="120">
        <v>52323.974999999999</v>
      </c>
      <c r="D52" s="344"/>
      <c r="E52" s="120">
        <f t="shared" si="4"/>
        <v>52.323974999999997</v>
      </c>
      <c r="F52" s="120">
        <v>0.34410000000000002</v>
      </c>
      <c r="G52" s="120">
        <v>0.70850000000000002</v>
      </c>
      <c r="H52" s="120">
        <f t="shared" si="5"/>
        <v>55.076216084999999</v>
      </c>
      <c r="I52" s="409"/>
    </row>
    <row r="53" spans="1:10" hidden="1">
      <c r="A53" s="437" t="s">
        <v>377</v>
      </c>
      <c r="B53" s="121" t="s">
        <v>461</v>
      </c>
      <c r="C53" s="121">
        <v>1501.011</v>
      </c>
      <c r="D53" s="422">
        <f>SUM(C53:C54)</f>
        <v>8943373.5390000008</v>
      </c>
      <c r="E53" s="137">
        <f t="shared" si="4"/>
        <v>1.5010110000000001</v>
      </c>
      <c r="F53" s="121">
        <v>0.34410000000000002</v>
      </c>
      <c r="G53" s="122">
        <v>0.70850000000000002</v>
      </c>
      <c r="H53" s="122">
        <f t="shared" si="5"/>
        <v>1.5799641786</v>
      </c>
      <c r="I53" s="431">
        <f>SUM(H53:H54)</f>
        <v>9413.7949871514011</v>
      </c>
    </row>
    <row r="54" spans="1:10" hidden="1">
      <c r="A54" s="438"/>
      <c r="B54" s="121" t="s">
        <v>179</v>
      </c>
      <c r="C54" s="121">
        <v>8941872.5280000009</v>
      </c>
      <c r="D54" s="375"/>
      <c r="E54" s="137">
        <f t="shared" si="4"/>
        <v>8941.8725280000017</v>
      </c>
      <c r="F54" s="121">
        <v>0.34410000000000002</v>
      </c>
      <c r="G54" s="122">
        <v>0.70850000000000002</v>
      </c>
      <c r="H54" s="122">
        <f t="shared" si="5"/>
        <v>9412.2150229728013</v>
      </c>
      <c r="I54" s="431"/>
      <c r="J54" s="105">
        <f>I53*0.001</f>
        <v>9.4137949871514017</v>
      </c>
    </row>
    <row r="55" spans="1:10" s="252" customFormat="1" hidden="1">
      <c r="A55" s="401" t="s">
        <v>376</v>
      </c>
      <c r="B55" s="120" t="s">
        <v>487</v>
      </c>
      <c r="C55" s="120">
        <v>2244378.7880000002</v>
      </c>
      <c r="D55" s="404">
        <f>SUM(C55:C59)</f>
        <v>6050796.377613958</v>
      </c>
      <c r="E55" s="120">
        <f t="shared" si="4"/>
        <v>2244.3787880000004</v>
      </c>
      <c r="F55" s="256">
        <v>0.34410000000000002</v>
      </c>
      <c r="G55" s="256">
        <v>0.70850000000000002</v>
      </c>
      <c r="H55" s="120">
        <f t="shared" si="5"/>
        <v>2362.4331122488006</v>
      </c>
      <c r="I55" s="407">
        <f>H55:H59</f>
        <v>2362.4331122488006</v>
      </c>
    </row>
    <row r="56" spans="1:10" hidden="1">
      <c r="A56" s="411"/>
      <c r="B56" s="120" t="s">
        <v>155</v>
      </c>
      <c r="C56" s="120">
        <v>169600</v>
      </c>
      <c r="D56" s="410"/>
      <c r="E56" s="120">
        <f t="shared" si="4"/>
        <v>169.6</v>
      </c>
      <c r="F56" s="120">
        <v>0.34410000000000002</v>
      </c>
      <c r="G56" s="120">
        <v>0.70850000000000002</v>
      </c>
      <c r="H56" s="120">
        <f t="shared" si="5"/>
        <v>178.52096</v>
      </c>
      <c r="I56" s="425"/>
    </row>
    <row r="57" spans="1:10" hidden="1">
      <c r="A57" s="411"/>
      <c r="B57" s="120" t="s">
        <v>462</v>
      </c>
      <c r="C57" s="120">
        <v>20781</v>
      </c>
      <c r="D57" s="410"/>
      <c r="E57" s="120">
        <f t="shared" si="4"/>
        <v>20.780999999999999</v>
      </c>
      <c r="F57" s="120">
        <v>0.34410000000000002</v>
      </c>
      <c r="G57" s="120">
        <v>0.70850000000000002</v>
      </c>
      <c r="H57" s="120">
        <f t="shared" si="5"/>
        <v>21.874080599999999</v>
      </c>
      <c r="I57" s="425"/>
      <c r="J57" s="105">
        <f>I55*0.001</f>
        <v>2.3624331122488007</v>
      </c>
    </row>
    <row r="58" spans="1:10" hidden="1">
      <c r="A58" s="411"/>
      <c r="B58" s="120" t="s">
        <v>156</v>
      </c>
      <c r="C58" s="120">
        <v>3587712.8580046776</v>
      </c>
      <c r="D58" s="410"/>
      <c r="E58" s="120">
        <f t="shared" si="4"/>
        <v>3587.7128580046779</v>
      </c>
      <c r="F58" s="120">
        <v>0.34410000000000002</v>
      </c>
      <c r="G58" s="120">
        <v>0.70850000000000002</v>
      </c>
      <c r="H58" s="120">
        <f t="shared" si="5"/>
        <v>3776.4265543357242</v>
      </c>
      <c r="I58" s="425"/>
    </row>
    <row r="59" spans="1:10" hidden="1">
      <c r="A59" s="411"/>
      <c r="B59" s="120" t="s">
        <v>463</v>
      </c>
      <c r="C59" s="120">
        <v>28323.731609279999</v>
      </c>
      <c r="D59" s="410"/>
      <c r="E59" s="120">
        <f t="shared" si="4"/>
        <v>28.323731609279999</v>
      </c>
      <c r="F59" s="120">
        <v>0.34410000000000002</v>
      </c>
      <c r="G59" s="120">
        <v>0.70850000000000002</v>
      </c>
      <c r="H59" s="120">
        <f t="shared" si="5"/>
        <v>29.813559891928129</v>
      </c>
      <c r="I59" s="414"/>
    </row>
    <row r="60" spans="1:10" ht="13" hidden="1" thickBot="1">
      <c r="A60" s="138" t="s">
        <v>286</v>
      </c>
      <c r="B60" s="126"/>
      <c r="C60" s="126">
        <v>827952.60552514717</v>
      </c>
      <c r="D60" s="126">
        <f>SUM(C60)</f>
        <v>827952.60552514717</v>
      </c>
      <c r="E60" s="126">
        <f t="shared" si="4"/>
        <v>827.95260552514719</v>
      </c>
      <c r="F60" s="126">
        <v>0.34410000000000002</v>
      </c>
      <c r="G60" s="126">
        <v>0.70850000000000002</v>
      </c>
      <c r="H60" s="126">
        <f t="shared" si="5"/>
        <v>871.50291257576998</v>
      </c>
      <c r="I60" s="127">
        <f>SUM(H60)</f>
        <v>871.50291257576998</v>
      </c>
      <c r="J60" s="105">
        <f>I60*0.001</f>
        <v>0.87150291257576995</v>
      </c>
    </row>
    <row r="61" spans="1:10" hidden="1"/>
    <row r="62" spans="1:10" ht="13" hidden="1" thickBot="1"/>
    <row r="63" spans="1:10">
      <c r="A63" s="257" t="s">
        <v>287</v>
      </c>
      <c r="B63" s="258"/>
      <c r="C63" s="139">
        <f>SUM(C42:C60)</f>
        <v>16604521.636028105</v>
      </c>
    </row>
    <row r="64" spans="1:10" ht="13" customHeight="1" thickBot="1">
      <c r="A64" s="259" t="s">
        <v>288</v>
      </c>
      <c r="B64" s="260"/>
      <c r="C64" s="140">
        <f>SUM(I42:I60)</f>
        <v>13471.284319255532</v>
      </c>
    </row>
    <row r="65" spans="1:10" ht="14" customHeight="1" thickBot="1">
      <c r="A65" s="261" t="s">
        <v>414</v>
      </c>
      <c r="B65" s="262"/>
      <c r="C65" s="140">
        <f>C64*0.001</f>
        <v>13.471284319255533</v>
      </c>
    </row>
    <row r="66" spans="1:10" ht="14" customHeight="1"/>
    <row r="68" spans="1:10" ht="13" thickBot="1">
      <c r="A68" s="117" t="s">
        <v>407</v>
      </c>
      <c r="B68" s="118"/>
      <c r="C68" s="118"/>
      <c r="D68" s="118"/>
    </row>
    <row r="69" spans="1:10" ht="25" hidden="1" thickBot="1">
      <c r="A69" s="132" t="s">
        <v>525</v>
      </c>
      <c r="B69" s="133" t="s">
        <v>378</v>
      </c>
      <c r="C69" s="133" t="s">
        <v>158</v>
      </c>
      <c r="D69" s="133" t="s">
        <v>159</v>
      </c>
      <c r="E69" s="134" t="s">
        <v>181</v>
      </c>
      <c r="F69" s="134" t="s">
        <v>182</v>
      </c>
      <c r="G69" s="134" t="s">
        <v>183</v>
      </c>
      <c r="H69" s="133" t="s">
        <v>184</v>
      </c>
      <c r="I69" s="135" t="s">
        <v>185</v>
      </c>
    </row>
    <row r="70" spans="1:10" hidden="1">
      <c r="A70" s="412" t="s">
        <v>492</v>
      </c>
      <c r="B70" s="136" t="s">
        <v>618</v>
      </c>
      <c r="C70" s="136">
        <v>29856</v>
      </c>
      <c r="D70" s="416">
        <f>SUM(C70:C81)</f>
        <v>375930.53514619998</v>
      </c>
      <c r="E70" s="136">
        <f t="shared" ref="E70:E95" si="6">C70*E$12</f>
        <v>29.856000000000002</v>
      </c>
      <c r="F70" s="136">
        <v>0.34410000000000002</v>
      </c>
      <c r="G70" s="136">
        <v>0.70850000000000002</v>
      </c>
      <c r="H70" s="136">
        <f t="shared" ref="H70:H95" si="7">(E70*F70)+(G70*E70)</f>
        <v>31.426425600000002</v>
      </c>
      <c r="I70" s="414">
        <f>SUM(H70:H81)</f>
        <v>395.70448129489006</v>
      </c>
    </row>
    <row r="71" spans="1:10" hidden="1">
      <c r="A71" s="413"/>
      <c r="B71" s="120" t="s">
        <v>619</v>
      </c>
      <c r="C71" s="120">
        <v>108382.56</v>
      </c>
      <c r="D71" s="417"/>
      <c r="E71" s="120">
        <f t="shared" si="6"/>
        <v>108.38256</v>
      </c>
      <c r="F71" s="120">
        <v>0.34410000000000002</v>
      </c>
      <c r="G71" s="120">
        <v>0.70850000000000002</v>
      </c>
      <c r="H71" s="120">
        <f t="shared" si="7"/>
        <v>114.083482656</v>
      </c>
      <c r="I71" s="415"/>
    </row>
    <row r="72" spans="1:10" hidden="1">
      <c r="A72" s="413"/>
      <c r="B72" s="120" t="s">
        <v>186</v>
      </c>
      <c r="C72" s="120">
        <v>9474</v>
      </c>
      <c r="D72" s="417"/>
      <c r="E72" s="120">
        <f t="shared" si="6"/>
        <v>9.4740000000000002</v>
      </c>
      <c r="F72" s="120">
        <v>0.34410000000000002</v>
      </c>
      <c r="G72" s="120">
        <v>0.70850000000000002</v>
      </c>
      <c r="H72" s="120">
        <f t="shared" si="7"/>
        <v>9.9723324000000009</v>
      </c>
      <c r="I72" s="415"/>
    </row>
    <row r="73" spans="1:10" hidden="1">
      <c r="A73" s="413"/>
      <c r="B73" s="120" t="s">
        <v>171</v>
      </c>
      <c r="C73" s="120">
        <v>28422</v>
      </c>
      <c r="D73" s="417"/>
      <c r="E73" s="120">
        <f t="shared" si="6"/>
        <v>28.422000000000001</v>
      </c>
      <c r="F73" s="120">
        <v>0.34410000000000002</v>
      </c>
      <c r="G73" s="120">
        <v>0.70850000000000002</v>
      </c>
      <c r="H73" s="120">
        <f t="shared" si="7"/>
        <v>29.916997200000004</v>
      </c>
      <c r="I73" s="415"/>
    </row>
    <row r="74" spans="1:10" hidden="1">
      <c r="A74" s="413"/>
      <c r="B74" s="120" t="s">
        <v>187</v>
      </c>
      <c r="C74" s="120">
        <v>9474</v>
      </c>
      <c r="D74" s="417"/>
      <c r="E74" s="120">
        <f t="shared" si="6"/>
        <v>9.4740000000000002</v>
      </c>
      <c r="F74" s="120">
        <v>0.34410000000000002</v>
      </c>
      <c r="G74" s="120">
        <v>0.70850000000000002</v>
      </c>
      <c r="H74" s="120">
        <f t="shared" si="7"/>
        <v>9.9723324000000009</v>
      </c>
      <c r="I74" s="415"/>
    </row>
    <row r="75" spans="1:10" hidden="1">
      <c r="A75" s="413"/>
      <c r="B75" s="120" t="s">
        <v>188</v>
      </c>
      <c r="C75" s="120">
        <v>1184.25</v>
      </c>
      <c r="D75" s="417"/>
      <c r="E75" s="120">
        <f t="shared" si="6"/>
        <v>1.18425</v>
      </c>
      <c r="F75" s="120">
        <v>0.34410000000000002</v>
      </c>
      <c r="G75" s="120">
        <v>0.70850000000000002</v>
      </c>
      <c r="H75" s="120">
        <f t="shared" si="7"/>
        <v>1.2465415500000001</v>
      </c>
      <c r="I75" s="415"/>
      <c r="J75" s="105">
        <f>I70*0.001</f>
        <v>0.39570448129489005</v>
      </c>
    </row>
    <row r="76" spans="1:10" hidden="1">
      <c r="A76" s="413"/>
      <c r="B76" s="120" t="s">
        <v>294</v>
      </c>
      <c r="C76" s="120">
        <v>66318</v>
      </c>
      <c r="D76" s="417"/>
      <c r="E76" s="120">
        <f t="shared" si="6"/>
        <v>66.317999999999998</v>
      </c>
      <c r="F76" s="120">
        <v>0.34410000000000002</v>
      </c>
      <c r="G76" s="120">
        <v>0.70850000000000002</v>
      </c>
      <c r="H76" s="120">
        <f t="shared" si="7"/>
        <v>69.806326799999994</v>
      </c>
      <c r="I76" s="415"/>
    </row>
    <row r="77" spans="1:10" hidden="1">
      <c r="A77" s="413"/>
      <c r="B77" s="120" t="s">
        <v>295</v>
      </c>
      <c r="C77" s="120">
        <v>18948</v>
      </c>
      <c r="D77" s="417"/>
      <c r="E77" s="120">
        <f t="shared" si="6"/>
        <v>18.948</v>
      </c>
      <c r="F77" s="120">
        <v>0.34410000000000002</v>
      </c>
      <c r="G77" s="120">
        <v>0.70850000000000002</v>
      </c>
      <c r="H77" s="120">
        <f t="shared" si="7"/>
        <v>19.944664800000002</v>
      </c>
      <c r="I77" s="415"/>
    </row>
    <row r="78" spans="1:10" hidden="1">
      <c r="A78" s="413"/>
      <c r="B78" s="120" t="s">
        <v>464</v>
      </c>
      <c r="C78" s="120">
        <v>2878.3125</v>
      </c>
      <c r="D78" s="417"/>
      <c r="E78" s="120">
        <f t="shared" si="6"/>
        <v>2.8783125000000003</v>
      </c>
      <c r="F78" s="120">
        <v>0.34410000000000002</v>
      </c>
      <c r="G78" s="120">
        <v>0.70850000000000002</v>
      </c>
      <c r="H78" s="120">
        <f t="shared" si="7"/>
        <v>3.0297117375000004</v>
      </c>
      <c r="I78" s="415"/>
    </row>
    <row r="79" spans="1:10" hidden="1">
      <c r="A79" s="413"/>
      <c r="B79" s="120" t="s">
        <v>490</v>
      </c>
      <c r="C79" s="120">
        <v>905.72514620000004</v>
      </c>
      <c r="D79" s="417"/>
      <c r="E79" s="120">
        <f t="shared" si="6"/>
        <v>0.90572514620000011</v>
      </c>
      <c r="F79" s="120">
        <v>0.34410000000000002</v>
      </c>
      <c r="G79" s="120">
        <v>0.70850000000000002</v>
      </c>
      <c r="H79" s="120">
        <f t="shared" si="7"/>
        <v>0.95336628889012021</v>
      </c>
      <c r="I79" s="415"/>
    </row>
    <row r="80" spans="1:10" hidden="1">
      <c r="A80" s="413"/>
      <c r="B80" s="120" t="s">
        <v>485</v>
      </c>
      <c r="C80" s="120">
        <v>13902</v>
      </c>
      <c r="D80" s="417"/>
      <c r="E80" s="120">
        <f t="shared" si="6"/>
        <v>13.902000000000001</v>
      </c>
      <c r="F80" s="120">
        <v>0.34410000000000002</v>
      </c>
      <c r="G80" s="120">
        <v>0.70850000000000002</v>
      </c>
      <c r="H80" s="120">
        <f t="shared" si="7"/>
        <v>14.633245200000001</v>
      </c>
      <c r="I80" s="415"/>
    </row>
    <row r="81" spans="1:10" hidden="1">
      <c r="A81" s="413"/>
      <c r="B81" s="120" t="s">
        <v>486</v>
      </c>
      <c r="C81" s="120">
        <v>86185.6875</v>
      </c>
      <c r="D81" s="375"/>
      <c r="E81" s="120">
        <f t="shared" si="6"/>
        <v>86.1856875</v>
      </c>
      <c r="F81" s="120">
        <v>0.34410000000000002</v>
      </c>
      <c r="G81" s="120">
        <v>0.70850000000000002</v>
      </c>
      <c r="H81" s="120">
        <f t="shared" si="7"/>
        <v>90.7190546625</v>
      </c>
      <c r="I81" s="415"/>
    </row>
    <row r="82" spans="1:10" hidden="1">
      <c r="A82" s="418" t="s">
        <v>377</v>
      </c>
      <c r="B82" s="121" t="s">
        <v>465</v>
      </c>
      <c r="C82" s="121">
        <v>5381.2319999999991</v>
      </c>
      <c r="D82" s="422">
        <f>SUM(C82:C86)</f>
        <v>15701204.609133942</v>
      </c>
      <c r="E82" s="137">
        <f t="shared" si="6"/>
        <v>5.3812319999999989</v>
      </c>
      <c r="F82" s="121">
        <v>0.34410000000000002</v>
      </c>
      <c r="G82" s="122">
        <v>0.70850000000000002</v>
      </c>
      <c r="H82" s="122">
        <f t="shared" si="7"/>
        <v>5.6642848031999993</v>
      </c>
      <c r="I82" s="423">
        <f>SUM(H82:H86)</f>
        <v>16527.08797157439</v>
      </c>
    </row>
    <row r="83" spans="1:10" hidden="1">
      <c r="A83" s="419"/>
      <c r="B83" s="121" t="s">
        <v>179</v>
      </c>
      <c r="C83" s="121">
        <v>8074121.7599999998</v>
      </c>
      <c r="D83" s="417"/>
      <c r="E83" s="137">
        <f t="shared" si="6"/>
        <v>8074.12176</v>
      </c>
      <c r="F83" s="121">
        <v>0.34410000000000002</v>
      </c>
      <c r="G83" s="122">
        <v>0.70850000000000002</v>
      </c>
      <c r="H83" s="122">
        <f t="shared" si="7"/>
        <v>8498.8205645760008</v>
      </c>
      <c r="I83" s="424"/>
      <c r="J83" s="105">
        <f>I82*0.001</f>
        <v>16.527087971574392</v>
      </c>
    </row>
    <row r="84" spans="1:10" hidden="1">
      <c r="A84" s="419"/>
      <c r="B84" s="121" t="s">
        <v>466</v>
      </c>
      <c r="C84" s="121">
        <v>2309878.2171339411</v>
      </c>
      <c r="D84" s="417"/>
      <c r="E84" s="137">
        <f t="shared" si="6"/>
        <v>2309.8782171339412</v>
      </c>
      <c r="F84" s="121">
        <v>0.34410000000000002</v>
      </c>
      <c r="G84" s="122">
        <v>0.70850000000000002</v>
      </c>
      <c r="H84" s="122">
        <f t="shared" si="7"/>
        <v>2431.3778113551866</v>
      </c>
      <c r="I84" s="424"/>
    </row>
    <row r="85" spans="1:10" hidden="1">
      <c r="A85" s="419"/>
      <c r="B85" s="121" t="s">
        <v>467</v>
      </c>
      <c r="C85" s="121">
        <v>213165</v>
      </c>
      <c r="D85" s="417"/>
      <c r="E85" s="137">
        <f t="shared" si="6"/>
        <v>213.16499999999999</v>
      </c>
      <c r="F85" s="121">
        <v>0.34410000000000002</v>
      </c>
      <c r="G85" s="122">
        <v>0.70850000000000002</v>
      </c>
      <c r="H85" s="122">
        <f t="shared" si="7"/>
        <v>224.37747899999999</v>
      </c>
      <c r="I85" s="424"/>
    </row>
    <row r="86" spans="1:10" hidden="1">
      <c r="A86" s="403"/>
      <c r="B86" s="121" t="s">
        <v>292</v>
      </c>
      <c r="C86" s="121">
        <v>5098658.4000000004</v>
      </c>
      <c r="D86" s="344"/>
      <c r="E86" s="137">
        <f t="shared" si="6"/>
        <v>5098.6584000000003</v>
      </c>
      <c r="F86" s="121">
        <v>0.34410000000000002</v>
      </c>
      <c r="G86" s="122">
        <v>0.70850000000000002</v>
      </c>
      <c r="H86" s="122">
        <f t="shared" si="7"/>
        <v>5366.8478318400003</v>
      </c>
      <c r="I86" s="409"/>
    </row>
    <row r="87" spans="1:10" hidden="1">
      <c r="A87" s="413" t="s">
        <v>376</v>
      </c>
      <c r="B87" s="120" t="s">
        <v>487</v>
      </c>
      <c r="C87" s="120">
        <v>3037975.7575757578</v>
      </c>
      <c r="D87" s="404">
        <f>SUM(C87:C94)</f>
        <v>4551620.6005967567</v>
      </c>
      <c r="E87" s="120">
        <f t="shared" si="6"/>
        <v>3037.9757575757581</v>
      </c>
      <c r="F87" s="120">
        <v>0.34410000000000002</v>
      </c>
      <c r="G87" s="120">
        <v>0.70850000000000002</v>
      </c>
      <c r="H87" s="120">
        <f t="shared" si="7"/>
        <v>3197.773282424243</v>
      </c>
      <c r="I87" s="415">
        <f>SUM(H87:H94)</f>
        <v>4791.0358441881453</v>
      </c>
    </row>
    <row r="88" spans="1:10" hidden="1">
      <c r="A88" s="413"/>
      <c r="B88" s="120" t="s">
        <v>155</v>
      </c>
      <c r="C88" s="120">
        <v>368000</v>
      </c>
      <c r="D88" s="420"/>
      <c r="E88" s="120">
        <f t="shared" si="6"/>
        <v>368</v>
      </c>
      <c r="F88" s="120">
        <v>0.34410000000000002</v>
      </c>
      <c r="G88" s="120">
        <v>0.70850000000000002</v>
      </c>
      <c r="H88" s="120">
        <f t="shared" si="7"/>
        <v>387.35680000000002</v>
      </c>
      <c r="I88" s="415"/>
    </row>
    <row r="89" spans="1:10" hidden="1">
      <c r="A89" s="413"/>
      <c r="B89" s="120" t="s">
        <v>462</v>
      </c>
      <c r="C89" s="120">
        <v>42633</v>
      </c>
      <c r="D89" s="420"/>
      <c r="E89" s="120">
        <f t="shared" si="6"/>
        <v>42.633000000000003</v>
      </c>
      <c r="F89" s="120">
        <v>0.34410000000000002</v>
      </c>
      <c r="G89" s="120">
        <v>0.70850000000000002</v>
      </c>
      <c r="H89" s="120">
        <f t="shared" si="7"/>
        <v>44.875495800000003</v>
      </c>
      <c r="I89" s="415"/>
    </row>
    <row r="90" spans="1:10" hidden="1">
      <c r="A90" s="413"/>
      <c r="B90" s="120" t="s">
        <v>468</v>
      </c>
      <c r="C90" s="120">
        <v>17053.2</v>
      </c>
      <c r="D90" s="420"/>
      <c r="E90" s="120">
        <f t="shared" si="6"/>
        <v>17.0532</v>
      </c>
      <c r="F90" s="120">
        <v>0.34410000000000002</v>
      </c>
      <c r="G90" s="120">
        <v>0.70850000000000002</v>
      </c>
      <c r="H90" s="120">
        <f t="shared" si="7"/>
        <v>17.950198319999998</v>
      </c>
      <c r="I90" s="415"/>
      <c r="J90" s="105">
        <f>I87*0.001</f>
        <v>4.7910358441881451</v>
      </c>
    </row>
    <row r="91" spans="1:10" hidden="1">
      <c r="A91" s="413"/>
      <c r="B91" s="120" t="s">
        <v>469</v>
      </c>
      <c r="C91" s="120">
        <v>10669.485671351998</v>
      </c>
      <c r="D91" s="420"/>
      <c r="E91" s="120">
        <f t="shared" si="6"/>
        <v>10.669485671351998</v>
      </c>
      <c r="F91" s="120">
        <v>0.34410000000000002</v>
      </c>
      <c r="G91" s="120">
        <v>0.70850000000000002</v>
      </c>
      <c r="H91" s="120">
        <f t="shared" si="7"/>
        <v>11.230700617665114</v>
      </c>
      <c r="I91" s="415"/>
    </row>
    <row r="92" spans="1:10" hidden="1">
      <c r="A92" s="413"/>
      <c r="B92" s="120" t="s">
        <v>470</v>
      </c>
      <c r="C92" s="120">
        <v>6821.28</v>
      </c>
      <c r="D92" s="420"/>
      <c r="E92" s="120">
        <f t="shared" si="6"/>
        <v>6.8212799999999998</v>
      </c>
      <c r="F92" s="120">
        <v>0.34410000000000002</v>
      </c>
      <c r="G92" s="120">
        <v>0.70850000000000002</v>
      </c>
      <c r="H92" s="120">
        <f t="shared" si="7"/>
        <v>7.1800793279999997</v>
      </c>
      <c r="I92" s="415"/>
    </row>
    <row r="93" spans="1:10" hidden="1">
      <c r="A93" s="413"/>
      <c r="B93" s="120" t="s">
        <v>471</v>
      </c>
      <c r="C93" s="120">
        <v>62173.125</v>
      </c>
      <c r="D93" s="420"/>
      <c r="E93" s="120">
        <f t="shared" si="6"/>
        <v>62.173124999999999</v>
      </c>
      <c r="F93" s="120">
        <v>0.34410000000000002</v>
      </c>
      <c r="G93" s="120">
        <v>0.70850000000000002</v>
      </c>
      <c r="H93" s="120">
        <f t="shared" si="7"/>
        <v>65.443431375000003</v>
      </c>
      <c r="I93" s="415"/>
    </row>
    <row r="94" spans="1:10" hidden="1">
      <c r="A94" s="413"/>
      <c r="B94" s="120" t="s">
        <v>156</v>
      </c>
      <c r="C94" s="120">
        <v>1006294.7523496466</v>
      </c>
      <c r="D94" s="421"/>
      <c r="E94" s="120">
        <f t="shared" si="6"/>
        <v>1006.2947523496466</v>
      </c>
      <c r="F94" s="120">
        <v>0.34410000000000002</v>
      </c>
      <c r="G94" s="120">
        <v>0.70850000000000002</v>
      </c>
      <c r="H94" s="120">
        <f t="shared" si="7"/>
        <v>1059.2258563232381</v>
      </c>
      <c r="I94" s="415"/>
    </row>
    <row r="95" spans="1:10" ht="13" hidden="1" thickBot="1">
      <c r="A95" s="125" t="s">
        <v>296</v>
      </c>
      <c r="B95" s="126"/>
      <c r="C95" s="126">
        <v>1085724.1525417268</v>
      </c>
      <c r="D95" s="126">
        <f>SUM(C95)</f>
        <v>1085724.1525417268</v>
      </c>
      <c r="E95" s="126">
        <f t="shared" si="6"/>
        <v>1085.7241525417269</v>
      </c>
      <c r="F95" s="126">
        <v>0.34410000000000002</v>
      </c>
      <c r="G95" s="126">
        <v>0.70850000000000002</v>
      </c>
      <c r="H95" s="126">
        <f t="shared" si="7"/>
        <v>1142.8332429654217</v>
      </c>
      <c r="I95" s="141">
        <f>SUM(H95)</f>
        <v>1142.8332429654217</v>
      </c>
      <c r="J95" s="105">
        <f>I95*0.001</f>
        <v>1.1428332429654218</v>
      </c>
    </row>
    <row r="96" spans="1:10" hidden="1">
      <c r="F96" s="142"/>
    </row>
    <row r="97" spans="1:10" ht="13" hidden="1" thickBot="1"/>
    <row r="98" spans="1:10">
      <c r="A98" s="257" t="s">
        <v>297</v>
      </c>
      <c r="B98" s="258"/>
      <c r="C98" s="129">
        <f>SUM(C70:C95)</f>
        <v>21714479.897418626</v>
      </c>
    </row>
    <row r="99" spans="1:10" ht="13" customHeight="1" thickBot="1">
      <c r="A99" s="259" t="s">
        <v>298</v>
      </c>
      <c r="B99" s="260"/>
      <c r="C99" s="140">
        <f>SUM(I70:I95)</f>
        <v>22856.661540022851</v>
      </c>
    </row>
    <row r="100" spans="1:10" ht="14" customHeight="1" thickBot="1">
      <c r="A100" s="261" t="s">
        <v>299</v>
      </c>
      <c r="B100" s="262"/>
      <c r="C100" s="140">
        <f>C99*0.001</f>
        <v>22.856661540022852</v>
      </c>
    </row>
    <row r="101" spans="1:10" ht="14" customHeight="1"/>
    <row r="103" spans="1:10" ht="13" thickBot="1">
      <c r="A103" s="117" t="s">
        <v>300</v>
      </c>
      <c r="B103" s="118"/>
      <c r="C103" s="118"/>
      <c r="D103" s="118"/>
    </row>
    <row r="104" spans="1:10" ht="25" hidden="1" thickBot="1">
      <c r="A104" s="132" t="s">
        <v>525</v>
      </c>
      <c r="B104" s="133" t="s">
        <v>378</v>
      </c>
      <c r="C104" s="133" t="s">
        <v>158</v>
      </c>
      <c r="D104" s="133" t="s">
        <v>415</v>
      </c>
      <c r="E104" s="134" t="s">
        <v>416</v>
      </c>
      <c r="F104" s="134" t="s">
        <v>417</v>
      </c>
      <c r="G104" s="134" t="s">
        <v>306</v>
      </c>
      <c r="H104" s="133" t="s">
        <v>307</v>
      </c>
      <c r="I104" s="135" t="s">
        <v>308</v>
      </c>
    </row>
    <row r="105" spans="1:10" hidden="1">
      <c r="A105" s="412" t="s">
        <v>492</v>
      </c>
      <c r="B105" s="136" t="s">
        <v>309</v>
      </c>
      <c r="C105" s="136">
        <v>6096</v>
      </c>
      <c r="D105" s="416">
        <f>SUM(C105:C116)</f>
        <v>576992.17000000004</v>
      </c>
      <c r="E105" s="136">
        <f t="shared" ref="E105:E130" si="8">C105*E$12</f>
        <v>6.0960000000000001</v>
      </c>
      <c r="F105" s="136">
        <v>0.34410000000000002</v>
      </c>
      <c r="G105" s="136">
        <v>0.70850000000000002</v>
      </c>
      <c r="H105" s="136">
        <f t="shared" ref="H105:H130" si="9">(E105*F105)+(G105*E105)</f>
        <v>6.4166496000000004</v>
      </c>
      <c r="I105" s="414">
        <f>SUM(H105:H116)</f>
        <v>607.34195814200007</v>
      </c>
    </row>
    <row r="106" spans="1:10" hidden="1">
      <c r="A106" s="413"/>
      <c r="B106" s="120" t="s">
        <v>619</v>
      </c>
      <c r="C106" s="120">
        <v>19037.5</v>
      </c>
      <c r="D106" s="417"/>
      <c r="E106" s="120">
        <f t="shared" si="8"/>
        <v>19.037500000000001</v>
      </c>
      <c r="F106" s="120">
        <v>0.34410000000000002</v>
      </c>
      <c r="G106" s="120">
        <v>0.70850000000000002</v>
      </c>
      <c r="H106" s="120">
        <f t="shared" si="9"/>
        <v>20.038872500000004</v>
      </c>
      <c r="I106" s="415"/>
    </row>
    <row r="107" spans="1:10" hidden="1">
      <c r="A107" s="413"/>
      <c r="B107" s="120" t="s">
        <v>189</v>
      </c>
      <c r="C107" s="120">
        <v>5715</v>
      </c>
      <c r="D107" s="417"/>
      <c r="E107" s="120">
        <f t="shared" si="8"/>
        <v>5.7149999999999999</v>
      </c>
      <c r="F107" s="120">
        <v>0.34410000000000002</v>
      </c>
      <c r="G107" s="120">
        <v>0.70850000000000002</v>
      </c>
      <c r="H107" s="120">
        <f t="shared" si="9"/>
        <v>6.0156090000000004</v>
      </c>
      <c r="I107" s="415"/>
    </row>
    <row r="108" spans="1:10" hidden="1">
      <c r="A108" s="413"/>
      <c r="B108" s="120" t="s">
        <v>190</v>
      </c>
      <c r="C108" s="120">
        <v>9144</v>
      </c>
      <c r="D108" s="417"/>
      <c r="E108" s="120">
        <f t="shared" si="8"/>
        <v>9.1440000000000001</v>
      </c>
      <c r="F108" s="120">
        <v>0.34410000000000002</v>
      </c>
      <c r="G108" s="120">
        <v>0.70850000000000002</v>
      </c>
      <c r="H108" s="120">
        <f t="shared" si="9"/>
        <v>9.6249743999999993</v>
      </c>
      <c r="I108" s="415"/>
    </row>
    <row r="109" spans="1:10" hidden="1">
      <c r="A109" s="413"/>
      <c r="B109" s="120" t="s">
        <v>171</v>
      </c>
      <c r="C109" s="120">
        <v>53340</v>
      </c>
      <c r="D109" s="417"/>
      <c r="E109" s="120">
        <f t="shared" si="8"/>
        <v>53.34</v>
      </c>
      <c r="F109" s="120">
        <v>0.34410000000000002</v>
      </c>
      <c r="G109" s="120">
        <v>0.70850000000000002</v>
      </c>
      <c r="H109" s="120">
        <f t="shared" si="9"/>
        <v>56.14568400000001</v>
      </c>
      <c r="I109" s="415"/>
    </row>
    <row r="110" spans="1:10" hidden="1">
      <c r="A110" s="413"/>
      <c r="B110" s="120" t="s">
        <v>191</v>
      </c>
      <c r="C110" s="120">
        <v>17780</v>
      </c>
      <c r="D110" s="417"/>
      <c r="E110" s="120">
        <f t="shared" si="8"/>
        <v>17.78</v>
      </c>
      <c r="F110" s="120">
        <v>0.34410000000000002</v>
      </c>
      <c r="G110" s="120">
        <v>0.70850000000000002</v>
      </c>
      <c r="H110" s="120">
        <f t="shared" si="9"/>
        <v>18.715228000000003</v>
      </c>
      <c r="I110" s="415"/>
    </row>
    <row r="111" spans="1:10" hidden="1">
      <c r="A111" s="413"/>
      <c r="B111" s="120" t="s">
        <v>192</v>
      </c>
      <c r="C111" s="120">
        <v>27781.25</v>
      </c>
      <c r="D111" s="417"/>
      <c r="E111" s="120">
        <f t="shared" si="8"/>
        <v>27.78125</v>
      </c>
      <c r="F111" s="120">
        <v>0.34410000000000002</v>
      </c>
      <c r="G111" s="120">
        <v>0.70850000000000002</v>
      </c>
      <c r="H111" s="120">
        <f t="shared" si="9"/>
        <v>29.242543749999999</v>
      </c>
      <c r="I111" s="415"/>
      <c r="J111" s="105">
        <f>I105*0.001</f>
        <v>0.60734195814200009</v>
      </c>
    </row>
    <row r="112" spans="1:10" hidden="1">
      <c r="A112" s="413"/>
      <c r="B112" s="120" t="s">
        <v>362</v>
      </c>
      <c r="C112" s="120">
        <v>44450</v>
      </c>
      <c r="D112" s="417"/>
      <c r="E112" s="120">
        <f t="shared" si="8"/>
        <v>44.45</v>
      </c>
      <c r="F112" s="120">
        <v>0.34410000000000002</v>
      </c>
      <c r="G112" s="120">
        <v>0.70850000000000002</v>
      </c>
      <c r="H112" s="120">
        <f t="shared" si="9"/>
        <v>46.788070000000005</v>
      </c>
      <c r="I112" s="415"/>
    </row>
    <row r="113" spans="1:10" hidden="1">
      <c r="A113" s="413"/>
      <c r="B113" s="120" t="s">
        <v>534</v>
      </c>
      <c r="C113" s="120">
        <v>355600</v>
      </c>
      <c r="D113" s="417"/>
      <c r="E113" s="120">
        <f t="shared" si="8"/>
        <v>355.6</v>
      </c>
      <c r="F113" s="120">
        <v>0.34410000000000002</v>
      </c>
      <c r="G113" s="120">
        <v>0.70850000000000002</v>
      </c>
      <c r="H113" s="120">
        <f t="shared" si="9"/>
        <v>374.30456000000004</v>
      </c>
      <c r="I113" s="415"/>
    </row>
    <row r="114" spans="1:10" hidden="1">
      <c r="A114" s="413"/>
      <c r="B114" s="120" t="s">
        <v>490</v>
      </c>
      <c r="C114" s="120">
        <v>6415.92</v>
      </c>
      <c r="D114" s="417"/>
      <c r="E114" s="120">
        <f t="shared" si="8"/>
        <v>6.4159199999999998</v>
      </c>
      <c r="F114" s="120">
        <v>0.34410000000000002</v>
      </c>
      <c r="G114" s="120">
        <v>0.70850000000000002</v>
      </c>
      <c r="H114" s="120">
        <f t="shared" si="9"/>
        <v>6.7533973920000001</v>
      </c>
      <c r="I114" s="415"/>
    </row>
    <row r="115" spans="1:10" hidden="1">
      <c r="A115" s="413"/>
      <c r="B115" s="120" t="s">
        <v>485</v>
      </c>
      <c r="C115" s="120">
        <v>200</v>
      </c>
      <c r="D115" s="417"/>
      <c r="E115" s="120">
        <f t="shared" si="8"/>
        <v>0.2</v>
      </c>
      <c r="F115" s="120">
        <v>0.34410000000000002</v>
      </c>
      <c r="G115" s="120">
        <v>0.70850000000000002</v>
      </c>
      <c r="H115" s="120">
        <f t="shared" si="9"/>
        <v>0.21052000000000004</v>
      </c>
      <c r="I115" s="415"/>
    </row>
    <row r="116" spans="1:10" hidden="1">
      <c r="A116" s="413"/>
      <c r="B116" s="120" t="s">
        <v>486</v>
      </c>
      <c r="C116" s="120">
        <v>31432.5</v>
      </c>
      <c r="D116" s="375"/>
      <c r="E116" s="120">
        <f t="shared" si="8"/>
        <v>31.432500000000001</v>
      </c>
      <c r="F116" s="120">
        <v>0.34410000000000002</v>
      </c>
      <c r="G116" s="120">
        <v>0.70850000000000002</v>
      </c>
      <c r="H116" s="120">
        <f t="shared" si="9"/>
        <v>33.085849500000002</v>
      </c>
      <c r="I116" s="415"/>
    </row>
    <row r="117" spans="1:10" hidden="1">
      <c r="A117" s="426" t="s">
        <v>377</v>
      </c>
      <c r="B117" s="137" t="s">
        <v>461</v>
      </c>
      <c r="C117" s="137">
        <v>5770.88</v>
      </c>
      <c r="D117" s="426">
        <f>SUM(C117:C119)</f>
        <v>15706403.791999999</v>
      </c>
      <c r="E117" s="137">
        <f t="shared" si="8"/>
        <v>5.77088</v>
      </c>
      <c r="F117" s="137">
        <v>0.34410000000000002</v>
      </c>
      <c r="G117" s="122">
        <v>0.70850000000000002</v>
      </c>
      <c r="H117" s="122">
        <f t="shared" si="9"/>
        <v>6.074428288</v>
      </c>
      <c r="I117" s="429">
        <f>SUM(H117:H119)</f>
        <v>16532.560631459201</v>
      </c>
    </row>
    <row r="118" spans="1:10" hidden="1">
      <c r="A118" s="427"/>
      <c r="B118" s="137" t="s">
        <v>179</v>
      </c>
      <c r="C118" s="137">
        <v>8052645.3119999999</v>
      </c>
      <c r="D118" s="428"/>
      <c r="E118" s="137">
        <f t="shared" si="8"/>
        <v>8052.6453119999996</v>
      </c>
      <c r="F118" s="137">
        <v>0.34410000000000002</v>
      </c>
      <c r="G118" s="122">
        <v>0.70850000000000002</v>
      </c>
      <c r="H118" s="122">
        <f t="shared" si="9"/>
        <v>8476.2144554112001</v>
      </c>
      <c r="I118" s="430"/>
      <c r="J118" s="105">
        <f>I117*0.001</f>
        <v>16.532560631459202</v>
      </c>
    </row>
    <row r="119" spans="1:10" hidden="1">
      <c r="A119" s="344"/>
      <c r="B119" s="226" t="s">
        <v>292</v>
      </c>
      <c r="C119" s="137">
        <v>7647987.5999999996</v>
      </c>
      <c r="D119" s="344"/>
      <c r="E119" s="137">
        <f t="shared" si="8"/>
        <v>7647.9875999999995</v>
      </c>
      <c r="F119" s="137">
        <v>0.34410000000000002</v>
      </c>
      <c r="G119" s="122">
        <v>0.70850000000000002</v>
      </c>
      <c r="H119" s="122">
        <f t="shared" si="9"/>
        <v>8050.2717477599999</v>
      </c>
      <c r="I119" s="409"/>
    </row>
    <row r="120" spans="1:10" hidden="1">
      <c r="A120" s="401" t="s">
        <v>376</v>
      </c>
      <c r="B120" s="136" t="s">
        <v>401</v>
      </c>
      <c r="C120" s="136">
        <v>2032</v>
      </c>
      <c r="D120" s="404">
        <f>SUM(C120:C129)</f>
        <v>772871.46044507192</v>
      </c>
      <c r="E120" s="120">
        <f t="shared" si="8"/>
        <v>2.032</v>
      </c>
      <c r="F120" s="120">
        <v>0.34410000000000002</v>
      </c>
      <c r="G120" s="120">
        <v>0.70850000000000002</v>
      </c>
      <c r="H120" s="120">
        <f t="shared" si="9"/>
        <v>2.1388832</v>
      </c>
      <c r="I120" s="407">
        <f>SUM(H120:H129)</f>
        <v>813.52449926448276</v>
      </c>
    </row>
    <row r="121" spans="1:10" hidden="1">
      <c r="A121" s="402"/>
      <c r="B121" s="120" t="s">
        <v>209</v>
      </c>
      <c r="C121" s="120">
        <v>1016</v>
      </c>
      <c r="D121" s="405"/>
      <c r="E121" s="120">
        <f t="shared" si="8"/>
        <v>1.016</v>
      </c>
      <c r="F121" s="120">
        <v>0.34410000000000002</v>
      </c>
      <c r="G121" s="120">
        <v>0.70850000000000002</v>
      </c>
      <c r="H121" s="120">
        <f t="shared" si="9"/>
        <v>1.0694416</v>
      </c>
      <c r="I121" s="408"/>
    </row>
    <row r="122" spans="1:10" hidden="1">
      <c r="A122" s="402"/>
      <c r="B122" s="120" t="s">
        <v>210</v>
      </c>
      <c r="C122" s="120">
        <v>508</v>
      </c>
      <c r="D122" s="405"/>
      <c r="E122" s="120">
        <f t="shared" si="8"/>
        <v>0.50800000000000001</v>
      </c>
      <c r="F122" s="120">
        <v>0.34410000000000002</v>
      </c>
      <c r="G122" s="120">
        <v>0.70850000000000002</v>
      </c>
      <c r="H122" s="120">
        <f t="shared" si="9"/>
        <v>0.5347208</v>
      </c>
      <c r="I122" s="408"/>
    </row>
    <row r="123" spans="1:10" hidden="1">
      <c r="A123" s="402"/>
      <c r="B123" s="120" t="s">
        <v>462</v>
      </c>
      <c r="C123" s="120">
        <v>40640</v>
      </c>
      <c r="D123" s="405"/>
      <c r="E123" s="120">
        <f t="shared" si="8"/>
        <v>40.64</v>
      </c>
      <c r="F123" s="120">
        <v>0.34410000000000002</v>
      </c>
      <c r="G123" s="120">
        <v>0.70850000000000002</v>
      </c>
      <c r="H123" s="120">
        <f t="shared" si="9"/>
        <v>42.777664000000001</v>
      </c>
      <c r="I123" s="408"/>
    </row>
    <row r="124" spans="1:10" hidden="1">
      <c r="A124" s="402"/>
      <c r="B124" s="120" t="s">
        <v>211</v>
      </c>
      <c r="C124" s="120">
        <v>4064</v>
      </c>
      <c r="D124" s="405"/>
      <c r="E124" s="120">
        <f t="shared" si="8"/>
        <v>4.0640000000000001</v>
      </c>
      <c r="F124" s="120">
        <v>0.34410000000000002</v>
      </c>
      <c r="G124" s="120">
        <v>0.70850000000000002</v>
      </c>
      <c r="H124" s="120">
        <f t="shared" si="9"/>
        <v>4.2777664</v>
      </c>
      <c r="I124" s="408"/>
      <c r="J124" s="105">
        <f>I120*0.001</f>
        <v>0.81352449926448278</v>
      </c>
    </row>
    <row r="125" spans="1:10" hidden="1">
      <c r="A125" s="402"/>
      <c r="B125" s="120" t="s">
        <v>467</v>
      </c>
      <c r="C125" s="120">
        <v>15240</v>
      </c>
      <c r="D125" s="405"/>
      <c r="E125" s="120">
        <f t="shared" si="8"/>
        <v>15.24</v>
      </c>
      <c r="F125" s="120">
        <v>0.34410000000000002</v>
      </c>
      <c r="G125" s="120">
        <v>0.70850000000000002</v>
      </c>
      <c r="H125" s="120">
        <f t="shared" si="9"/>
        <v>16.041623999999999</v>
      </c>
      <c r="I125" s="408"/>
    </row>
    <row r="126" spans="1:10" hidden="1">
      <c r="A126" s="402"/>
      <c r="B126" s="120" t="s">
        <v>212</v>
      </c>
      <c r="C126" s="120">
        <v>137160</v>
      </c>
      <c r="D126" s="405"/>
      <c r="E126" s="120">
        <f t="shared" si="8"/>
        <v>137.16</v>
      </c>
      <c r="F126" s="120">
        <v>0.34410000000000002</v>
      </c>
      <c r="G126" s="120">
        <v>0.70850000000000002</v>
      </c>
      <c r="H126" s="120">
        <f t="shared" si="9"/>
        <v>144.374616</v>
      </c>
      <c r="I126" s="408"/>
    </row>
    <row r="127" spans="1:10" hidden="1">
      <c r="A127" s="402"/>
      <c r="B127" s="120" t="s">
        <v>213</v>
      </c>
      <c r="C127" s="120">
        <v>540</v>
      </c>
      <c r="D127" s="405"/>
      <c r="E127" s="120">
        <f t="shared" si="8"/>
        <v>0.54</v>
      </c>
      <c r="F127" s="120">
        <v>0.34410000000000002</v>
      </c>
      <c r="G127" s="120">
        <v>0.70850000000000002</v>
      </c>
      <c r="H127" s="120">
        <f t="shared" si="9"/>
        <v>0.56840400000000013</v>
      </c>
      <c r="I127" s="408"/>
    </row>
    <row r="128" spans="1:10" hidden="1">
      <c r="A128" s="402"/>
      <c r="B128" s="120" t="s">
        <v>156</v>
      </c>
      <c r="C128" s="120">
        <v>561730.62044507195</v>
      </c>
      <c r="D128" s="405"/>
      <c r="E128" s="120">
        <f t="shared" si="8"/>
        <v>561.73062044507196</v>
      </c>
      <c r="F128" s="120">
        <v>0.34410000000000002</v>
      </c>
      <c r="G128" s="120">
        <v>0.70850000000000002</v>
      </c>
      <c r="H128" s="120">
        <f t="shared" si="9"/>
        <v>591.27765108048277</v>
      </c>
      <c r="I128" s="408"/>
    </row>
    <row r="129" spans="1:10" hidden="1">
      <c r="A129" s="403"/>
      <c r="B129" s="120" t="s">
        <v>487</v>
      </c>
      <c r="C129" s="248">
        <v>9940.84</v>
      </c>
      <c r="D129" s="406"/>
      <c r="E129" s="120">
        <f t="shared" si="8"/>
        <v>9.9408399999999997</v>
      </c>
      <c r="F129" s="120">
        <v>0.34410000000000002</v>
      </c>
      <c r="G129" s="120">
        <v>0.70850000000000002</v>
      </c>
      <c r="H129" s="120">
        <f t="shared" si="9"/>
        <v>10.463728184000001</v>
      </c>
      <c r="I129" s="409"/>
    </row>
    <row r="130" spans="1:10" ht="13" hidden="1" thickBot="1">
      <c r="A130" s="125" t="s">
        <v>296</v>
      </c>
      <c r="B130" s="126"/>
      <c r="C130" s="126">
        <v>895802.00005220994</v>
      </c>
      <c r="D130" s="126">
        <f>SUM(C130)</f>
        <v>895802.00005220994</v>
      </c>
      <c r="E130" s="126">
        <f t="shared" si="8"/>
        <v>895.80200005220991</v>
      </c>
      <c r="F130" s="126">
        <v>0.34410000000000002</v>
      </c>
      <c r="G130" s="126">
        <v>0.70850000000000002</v>
      </c>
      <c r="H130" s="126">
        <f t="shared" si="9"/>
        <v>942.92118525495607</v>
      </c>
      <c r="I130" s="127">
        <f>SUM(H130)</f>
        <v>942.92118525495607</v>
      </c>
      <c r="J130" s="105">
        <f>I130*0.001</f>
        <v>0.94292118525495605</v>
      </c>
    </row>
    <row r="131" spans="1:10" hidden="1"/>
    <row r="132" spans="1:10" ht="13" hidden="1" thickBot="1"/>
    <row r="133" spans="1:10">
      <c r="A133" s="257" t="s">
        <v>297</v>
      </c>
      <c r="B133" s="258"/>
      <c r="C133" s="139">
        <f>SUM(C105:C130)</f>
        <v>17952069.42249728</v>
      </c>
    </row>
    <row r="134" spans="1:10" ht="13" customHeight="1" thickBot="1">
      <c r="A134" s="259" t="s">
        <v>298</v>
      </c>
      <c r="B134" s="260"/>
      <c r="C134" s="143">
        <f>I105+I117+I120+I130</f>
        <v>18896.348274120639</v>
      </c>
    </row>
    <row r="135" spans="1:10" ht="14" customHeight="1" thickBot="1">
      <c r="A135" s="261" t="s">
        <v>299</v>
      </c>
      <c r="B135" s="262"/>
      <c r="C135" s="140">
        <f>C134*0.001</f>
        <v>18.896348274120641</v>
      </c>
    </row>
    <row r="136" spans="1:10" ht="14" customHeight="1" thickBot="1"/>
    <row r="137" spans="1:10" ht="13">
      <c r="A137" s="263" t="s">
        <v>193</v>
      </c>
      <c r="B137" s="264"/>
      <c r="C137" s="253">
        <f>SUM(C35+C63+C98+C133)</f>
        <v>59168276.319798708</v>
      </c>
    </row>
    <row r="138" spans="1:10" ht="14" thickBot="1">
      <c r="A138" s="265" t="s">
        <v>533</v>
      </c>
      <c r="B138" s="266"/>
      <c r="C138" s="254">
        <f>C36+C64+C99+C134</f>
        <v>58273.892499392474</v>
      </c>
    </row>
    <row r="139" spans="1:10" ht="13" thickBot="1">
      <c r="A139" s="267" t="s">
        <v>290</v>
      </c>
      <c r="B139" s="268"/>
      <c r="C139" s="255">
        <f>C138*0.001</f>
        <v>58.273892499392474</v>
      </c>
    </row>
    <row r="140" spans="1:10" ht="14" customHeight="1"/>
    <row r="142" spans="1:10">
      <c r="A142" s="144"/>
      <c r="B142" s="144"/>
      <c r="C142" s="144"/>
    </row>
    <row r="143" spans="1:10">
      <c r="A143" s="144"/>
      <c r="B143" s="144"/>
      <c r="C143" s="144"/>
    </row>
    <row r="144" spans="1:10">
      <c r="A144" s="144"/>
      <c r="B144" s="144"/>
      <c r="C144" s="144"/>
    </row>
    <row r="145" spans="1:3">
      <c r="A145" s="144"/>
      <c r="B145" s="144"/>
      <c r="C145" s="144"/>
    </row>
    <row r="146" spans="1:3">
      <c r="A146" s="144"/>
      <c r="B146" s="144"/>
      <c r="C146" s="144"/>
    </row>
    <row r="147" spans="1:3">
      <c r="A147" s="144"/>
      <c r="B147" s="144"/>
      <c r="C147" s="144"/>
    </row>
    <row r="148" spans="1:3">
      <c r="A148" s="144"/>
      <c r="B148" s="144"/>
      <c r="C148" s="144"/>
    </row>
    <row r="149" spans="1:3">
      <c r="A149" s="144"/>
      <c r="B149" s="144"/>
      <c r="C149" s="144"/>
    </row>
    <row r="150" spans="1:3">
      <c r="A150" s="144"/>
      <c r="B150" s="144"/>
      <c r="C150" s="144"/>
    </row>
    <row r="151" spans="1:3">
      <c r="A151" s="144"/>
      <c r="B151" s="144"/>
      <c r="C151" s="144"/>
    </row>
    <row r="152" spans="1:3">
      <c r="A152" s="144"/>
      <c r="B152" s="144"/>
      <c r="C152" s="144"/>
    </row>
    <row r="153" spans="1:3">
      <c r="A153" s="144"/>
      <c r="B153" s="144"/>
      <c r="C153" s="144"/>
    </row>
    <row r="154" spans="1:3">
      <c r="A154" s="144"/>
      <c r="B154" s="144"/>
      <c r="C154" s="144"/>
    </row>
    <row r="155" spans="1:3">
      <c r="A155" s="144"/>
      <c r="B155" s="144"/>
      <c r="C155" s="144"/>
    </row>
    <row r="156" spans="1:3">
      <c r="A156" s="144"/>
      <c r="B156" s="144"/>
      <c r="C156" s="144"/>
    </row>
    <row r="157" spans="1:3">
      <c r="A157" s="144"/>
      <c r="B157" s="144"/>
      <c r="C157" s="144"/>
    </row>
    <row r="158" spans="1:3">
      <c r="A158" s="144"/>
      <c r="B158" s="144"/>
      <c r="C158" s="144"/>
    </row>
    <row r="159" spans="1:3">
      <c r="A159" s="144"/>
      <c r="B159" s="144"/>
      <c r="C159" s="144"/>
    </row>
    <row r="160" spans="1:3">
      <c r="A160" s="144"/>
      <c r="B160" s="144"/>
      <c r="C160" s="144"/>
    </row>
    <row r="161" spans="1:3">
      <c r="A161" s="144"/>
      <c r="B161" s="144"/>
      <c r="C161" s="144"/>
    </row>
    <row r="162" spans="1:3">
      <c r="A162" s="144"/>
      <c r="B162" s="144"/>
      <c r="C162" s="144"/>
    </row>
    <row r="163" spans="1:3">
      <c r="A163" s="144"/>
      <c r="B163" s="144"/>
      <c r="C163" s="144"/>
    </row>
    <row r="164" spans="1:3">
      <c r="A164" s="144"/>
      <c r="B164" s="144"/>
      <c r="C164" s="144"/>
    </row>
    <row r="165" spans="1:3">
      <c r="A165" s="144"/>
      <c r="B165" s="144"/>
      <c r="C165" s="144"/>
    </row>
    <row r="166" spans="1:3">
      <c r="A166" s="144"/>
      <c r="B166" s="144"/>
      <c r="C166" s="144"/>
    </row>
  </sheetData>
  <mergeCells count="39">
    <mergeCell ref="A1:F1"/>
    <mergeCell ref="A7:A8"/>
    <mergeCell ref="A42:A51"/>
    <mergeCell ref="A53:A54"/>
    <mergeCell ref="A36:B36"/>
    <mergeCell ref="A5:A6"/>
    <mergeCell ref="D18:D26"/>
    <mergeCell ref="D27:D30"/>
    <mergeCell ref="D53:D54"/>
    <mergeCell ref="A18:A26"/>
    <mergeCell ref="A27:A30"/>
    <mergeCell ref="A37:B37"/>
    <mergeCell ref="I18:I26"/>
    <mergeCell ref="I27:I30"/>
    <mergeCell ref="A35:B35"/>
    <mergeCell ref="I53:I54"/>
    <mergeCell ref="D42:D52"/>
    <mergeCell ref="I42:I52"/>
    <mergeCell ref="I70:I81"/>
    <mergeCell ref="D70:D81"/>
    <mergeCell ref="A117:A119"/>
    <mergeCell ref="D117:D119"/>
    <mergeCell ref="I117:I119"/>
    <mergeCell ref="A120:A129"/>
    <mergeCell ref="D120:D129"/>
    <mergeCell ref="I120:I129"/>
    <mergeCell ref="D55:D59"/>
    <mergeCell ref="A55:A59"/>
    <mergeCell ref="A105:A116"/>
    <mergeCell ref="I105:I116"/>
    <mergeCell ref="D105:D116"/>
    <mergeCell ref="A87:A94"/>
    <mergeCell ref="A82:A86"/>
    <mergeCell ref="I87:I94"/>
    <mergeCell ref="D87:D94"/>
    <mergeCell ref="D82:D86"/>
    <mergeCell ref="I82:I86"/>
    <mergeCell ref="I55:I59"/>
    <mergeCell ref="A70:A81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5"/>
  <sheetViews>
    <sheetView topLeftCell="A19" workbookViewId="0">
      <selection activeCell="C377" sqref="C377"/>
    </sheetView>
  </sheetViews>
  <sheetFormatPr baseColWidth="10" defaultRowHeight="12"/>
  <cols>
    <col min="1" max="1" width="16.85546875" style="105" bestFit="1" customWidth="1"/>
    <col min="2" max="2" width="11" style="105" bestFit="1" customWidth="1"/>
    <col min="3" max="3" width="44.85546875" style="105" bestFit="1" customWidth="1"/>
    <col min="4" max="6" width="10.42578125" style="105" bestFit="1" customWidth="1"/>
    <col min="7" max="7" width="11.140625" style="105" bestFit="1" customWidth="1"/>
    <col min="8" max="8" width="10.42578125" style="105" bestFit="1" customWidth="1"/>
    <col min="9" max="9" width="11.140625" style="105" bestFit="1" customWidth="1"/>
    <col min="10" max="10" width="9.28515625" style="105" bestFit="1" customWidth="1"/>
    <col min="11" max="11" width="12.28515625" style="105" bestFit="1" customWidth="1"/>
    <col min="12" max="16384" width="10.7109375" style="105"/>
  </cols>
  <sheetData>
    <row r="1" spans="1:6" ht="15">
      <c r="A1" s="390" t="s">
        <v>200</v>
      </c>
      <c r="B1" s="390"/>
      <c r="C1" s="390"/>
      <c r="D1" s="390"/>
      <c r="E1" s="390"/>
      <c r="F1" s="390"/>
    </row>
    <row r="2" spans="1:6" ht="13" thickBot="1"/>
    <row r="3" spans="1:6">
      <c r="A3" s="481" t="s">
        <v>76</v>
      </c>
      <c r="B3" s="482"/>
      <c r="C3" s="482"/>
      <c r="D3" s="227"/>
      <c r="E3" s="228"/>
    </row>
    <row r="4" spans="1:6">
      <c r="A4" s="229"/>
      <c r="B4" s="112" t="s">
        <v>206</v>
      </c>
      <c r="C4" s="112" t="s">
        <v>207</v>
      </c>
      <c r="D4" s="112" t="s">
        <v>208</v>
      </c>
      <c r="E4" s="230"/>
    </row>
    <row r="5" spans="1:6">
      <c r="A5" s="229" t="s">
        <v>472</v>
      </c>
      <c r="B5" s="112">
        <v>2</v>
      </c>
      <c r="C5" s="112">
        <v>2.9999999999999997E-4</v>
      </c>
      <c r="D5" s="112">
        <v>1E-4</v>
      </c>
      <c r="E5" s="230"/>
    </row>
    <row r="6" spans="1:6" ht="13" thickBot="1">
      <c r="A6" s="229" t="s">
        <v>488</v>
      </c>
      <c r="B6" s="112">
        <v>1</v>
      </c>
      <c r="C6" s="112">
        <v>25</v>
      </c>
      <c r="D6" s="112">
        <v>298</v>
      </c>
      <c r="E6" s="230"/>
    </row>
    <row r="7" spans="1:6" ht="13" thickBot="1">
      <c r="A7" s="231"/>
      <c r="B7" s="232">
        <f>B5*B6</f>
        <v>2</v>
      </c>
      <c r="C7" s="232">
        <f>C5*C6</f>
        <v>7.4999999999999997E-3</v>
      </c>
      <c r="D7" s="232">
        <f>D5*D6</f>
        <v>2.98E-2</v>
      </c>
      <c r="E7" s="233">
        <f>SUM(B7:D7)</f>
        <v>2.0372999999999997</v>
      </c>
    </row>
    <row r="8" spans="1:6" ht="13" thickBot="1"/>
    <row r="9" spans="1:6">
      <c r="A9" s="481" t="s">
        <v>77</v>
      </c>
      <c r="B9" s="482"/>
      <c r="C9" s="482"/>
      <c r="D9" s="227"/>
      <c r="E9" s="228"/>
    </row>
    <row r="10" spans="1:6">
      <c r="A10" s="229"/>
      <c r="B10" s="112" t="s">
        <v>206</v>
      </c>
      <c r="C10" s="112" t="s">
        <v>207</v>
      </c>
      <c r="D10" s="112" t="s">
        <v>208</v>
      </c>
      <c r="E10" s="230"/>
    </row>
    <row r="11" spans="1:6">
      <c r="A11" s="229" t="s">
        <v>472</v>
      </c>
      <c r="B11" s="112">
        <v>1878</v>
      </c>
      <c r="C11" s="112">
        <v>3.6999999999999998E-2</v>
      </c>
      <c r="D11" s="112">
        <v>3.5000000000000003E-2</v>
      </c>
      <c r="E11" s="230"/>
    </row>
    <row r="12" spans="1:6" ht="13" thickBot="1">
      <c r="A12" s="229" t="s">
        <v>488</v>
      </c>
      <c r="B12" s="112">
        <v>1</v>
      </c>
      <c r="C12" s="112">
        <v>25</v>
      </c>
      <c r="D12" s="112">
        <v>298</v>
      </c>
      <c r="E12" s="230"/>
    </row>
    <row r="13" spans="1:6" ht="13" thickBot="1">
      <c r="A13" s="231"/>
      <c r="B13" s="232"/>
      <c r="C13" s="232"/>
      <c r="D13" s="232"/>
      <c r="E13" s="233">
        <v>1889.36</v>
      </c>
    </row>
    <row r="14" spans="1:6" ht="13" thickBot="1">
      <c r="A14" s="112"/>
      <c r="B14" s="112"/>
      <c r="C14" s="112"/>
      <c r="D14" s="112"/>
      <c r="E14" s="112"/>
    </row>
    <row r="15" spans="1:6">
      <c r="A15" s="481" t="s">
        <v>78</v>
      </c>
      <c r="B15" s="482"/>
      <c r="C15" s="482"/>
      <c r="D15" s="228"/>
    </row>
    <row r="16" spans="1:6">
      <c r="A16" s="229" t="s">
        <v>261</v>
      </c>
      <c r="B16" s="112">
        <v>89.37</v>
      </c>
      <c r="C16" s="112" t="s">
        <v>79</v>
      </c>
      <c r="D16" s="230"/>
    </row>
    <row r="17" spans="1:10" ht="13" thickBot="1">
      <c r="A17" s="229" t="s">
        <v>80</v>
      </c>
      <c r="B17" s="112">
        <v>0.92500000000000004</v>
      </c>
      <c r="C17" s="112" t="s">
        <v>81</v>
      </c>
      <c r="D17" s="230"/>
    </row>
    <row r="18" spans="1:10" ht="13" thickBot="1">
      <c r="A18" s="231"/>
      <c r="B18" s="232"/>
      <c r="C18" s="232"/>
      <c r="D18" s="233">
        <f>B16/B17</f>
        <v>96.616216216216216</v>
      </c>
    </row>
    <row r="19" spans="1:10" ht="13" thickBot="1"/>
    <row r="20" spans="1:10">
      <c r="A20" s="237" t="s">
        <v>82</v>
      </c>
      <c r="B20" s="227"/>
      <c r="C20" s="227"/>
      <c r="D20" s="227"/>
      <c r="E20" s="228"/>
    </row>
    <row r="21" spans="1:10">
      <c r="A21" s="235" t="s">
        <v>83</v>
      </c>
      <c r="B21" s="110" t="s">
        <v>84</v>
      </c>
      <c r="C21" s="110" t="s">
        <v>85</v>
      </c>
      <c r="D21" s="110" t="s">
        <v>84</v>
      </c>
      <c r="E21" s="236" t="s">
        <v>86</v>
      </c>
    </row>
    <row r="22" spans="1:10">
      <c r="A22" s="229">
        <v>1</v>
      </c>
      <c r="B22" s="112" t="s">
        <v>87</v>
      </c>
      <c r="C22" s="112">
        <v>1</v>
      </c>
      <c r="D22" s="112" t="s">
        <v>88</v>
      </c>
      <c r="E22" s="230">
        <v>3.5999999999999999E-3</v>
      </c>
    </row>
    <row r="23" spans="1:10">
      <c r="A23" s="229">
        <v>1</v>
      </c>
      <c r="B23" s="112" t="s">
        <v>88</v>
      </c>
      <c r="C23" s="112">
        <v>1</v>
      </c>
      <c r="D23" s="112" t="s">
        <v>87</v>
      </c>
      <c r="E23" s="230">
        <f>1/0.0036</f>
        <v>277.77777777777777</v>
      </c>
    </row>
    <row r="24" spans="1:10">
      <c r="A24" s="229">
        <v>1</v>
      </c>
      <c r="B24" s="112" t="s">
        <v>89</v>
      </c>
      <c r="C24" s="112">
        <v>1</v>
      </c>
      <c r="D24" s="112" t="s">
        <v>88</v>
      </c>
      <c r="E24" s="230">
        <v>3.789E-2</v>
      </c>
    </row>
    <row r="25" spans="1:10" ht="13" thickBot="1">
      <c r="A25" s="231">
        <v>1</v>
      </c>
      <c r="B25" s="232" t="s">
        <v>88</v>
      </c>
      <c r="C25" s="232">
        <v>1</v>
      </c>
      <c r="D25" s="232" t="s">
        <v>89</v>
      </c>
      <c r="E25" s="234">
        <f>1/0.03789</f>
        <v>26.392187912377935</v>
      </c>
    </row>
    <row r="29" spans="1:10" ht="13" thickBot="1">
      <c r="A29" s="238" t="s">
        <v>255</v>
      </c>
      <c r="B29" s="118"/>
      <c r="C29" s="118"/>
      <c r="D29" s="118"/>
      <c r="F29" s="142"/>
    </row>
    <row r="30" spans="1:10" ht="14" hidden="1" thickBot="1">
      <c r="A30" s="311" t="s">
        <v>227</v>
      </c>
      <c r="B30" s="312" t="s">
        <v>90</v>
      </c>
      <c r="C30" s="312" t="s">
        <v>527</v>
      </c>
      <c r="D30" s="313" t="s">
        <v>91</v>
      </c>
      <c r="E30" s="314" t="s">
        <v>528</v>
      </c>
      <c r="F30" s="312" t="s">
        <v>606</v>
      </c>
      <c r="G30" s="312" t="s">
        <v>526</v>
      </c>
      <c r="H30" s="312" t="s">
        <v>257</v>
      </c>
      <c r="I30" s="312" t="s">
        <v>408</v>
      </c>
      <c r="J30" s="315" t="s">
        <v>258</v>
      </c>
    </row>
    <row r="31" spans="1:10" ht="13" hidden="1">
      <c r="A31" s="483" t="s">
        <v>92</v>
      </c>
      <c r="B31" s="485" t="s">
        <v>93</v>
      </c>
      <c r="C31" s="301" t="s">
        <v>130</v>
      </c>
      <c r="D31" s="301">
        <v>7119.36</v>
      </c>
      <c r="E31" s="309">
        <f>D31*E$22</f>
        <v>25.629695999999999</v>
      </c>
      <c r="F31" s="309">
        <f>E31*E$25</f>
        <v>676.4237529691211</v>
      </c>
      <c r="G31" s="309">
        <v>2.0373000000000001</v>
      </c>
      <c r="H31" s="309">
        <f>G31*D31</f>
        <v>14504.272128000001</v>
      </c>
      <c r="I31" s="460">
        <f>SUM(H31:H72)</f>
        <v>398961.91237500001</v>
      </c>
      <c r="J31" s="310" t="s">
        <v>131</v>
      </c>
    </row>
    <row r="32" spans="1:10" ht="13" hidden="1">
      <c r="A32" s="484"/>
      <c r="B32" s="470"/>
      <c r="C32" s="302" t="s">
        <v>605</v>
      </c>
      <c r="D32" s="302">
        <v>319.815</v>
      </c>
      <c r="E32" s="272">
        <f>D32*E$22</f>
        <v>1.1513339999999999</v>
      </c>
      <c r="F32" s="272">
        <f t="shared" ref="F32:F95" si="0">E32*E$25</f>
        <v>30.386223277909732</v>
      </c>
      <c r="G32" s="272">
        <v>2.0373000000000001</v>
      </c>
      <c r="H32" s="272">
        <f t="shared" ref="H32:H72" si="1">G32*D32</f>
        <v>651.5590995</v>
      </c>
      <c r="I32" s="461"/>
      <c r="J32" s="270" t="s">
        <v>131</v>
      </c>
    </row>
    <row r="33" spans="1:10" ht="13" hidden="1">
      <c r="A33" s="484"/>
      <c r="B33" s="470"/>
      <c r="C33" s="302" t="s">
        <v>441</v>
      </c>
      <c r="D33" s="302">
        <v>4936.2749999999996</v>
      </c>
      <c r="E33" s="272">
        <f t="shared" ref="E33:E95" si="2">D33*E$22</f>
        <v>17.770589999999999</v>
      </c>
      <c r="F33" s="272">
        <f t="shared" si="0"/>
        <v>469.00475059382416</v>
      </c>
      <c r="G33" s="272">
        <v>2.0373000000000001</v>
      </c>
      <c r="H33" s="272">
        <f t="shared" si="1"/>
        <v>10056.6730575</v>
      </c>
      <c r="I33" s="461"/>
      <c r="J33" s="270" t="s">
        <v>131</v>
      </c>
    </row>
    <row r="34" spans="1:10" ht="13" hidden="1">
      <c r="A34" s="484"/>
      <c r="B34" s="470"/>
      <c r="C34" s="302" t="s">
        <v>442</v>
      </c>
      <c r="D34" s="302">
        <v>319.815</v>
      </c>
      <c r="E34" s="272">
        <f t="shared" si="2"/>
        <v>1.1513339999999999</v>
      </c>
      <c r="F34" s="272">
        <f t="shared" si="0"/>
        <v>30.386223277909732</v>
      </c>
      <c r="G34" s="272">
        <v>2.0373000000000001</v>
      </c>
      <c r="H34" s="272">
        <f t="shared" si="1"/>
        <v>651.5590995</v>
      </c>
      <c r="I34" s="461"/>
      <c r="J34" s="270" t="s">
        <v>131</v>
      </c>
    </row>
    <row r="35" spans="1:10" ht="13" hidden="1">
      <c r="A35" s="484"/>
      <c r="B35" s="470"/>
      <c r="C35" s="302" t="s">
        <v>443</v>
      </c>
      <c r="D35" s="302">
        <v>1066.05</v>
      </c>
      <c r="E35" s="272">
        <f t="shared" si="2"/>
        <v>3.8377799999999995</v>
      </c>
      <c r="F35" s="272">
        <f t="shared" si="0"/>
        <v>101.28741092636578</v>
      </c>
      <c r="G35" s="272">
        <v>2.0373000000000001</v>
      </c>
      <c r="H35" s="272">
        <f t="shared" si="1"/>
        <v>2171.8636649999999</v>
      </c>
      <c r="I35" s="461"/>
      <c r="J35" s="270" t="s">
        <v>132</v>
      </c>
    </row>
    <row r="36" spans="1:10" ht="13" hidden="1">
      <c r="A36" s="484"/>
      <c r="B36" s="470"/>
      <c r="C36" s="302" t="s">
        <v>444</v>
      </c>
      <c r="D36" s="302">
        <v>106.605</v>
      </c>
      <c r="E36" s="272">
        <f t="shared" si="2"/>
        <v>0.38377800000000001</v>
      </c>
      <c r="F36" s="272">
        <f t="shared" si="0"/>
        <v>10.128741092636579</v>
      </c>
      <c r="G36" s="272">
        <v>2.0373000000000001</v>
      </c>
      <c r="H36" s="272">
        <f t="shared" si="1"/>
        <v>217.18636650000002</v>
      </c>
      <c r="I36" s="461"/>
      <c r="J36" s="270" t="s">
        <v>132</v>
      </c>
    </row>
    <row r="37" spans="1:10" ht="13" hidden="1">
      <c r="A37" s="484"/>
      <c r="B37" s="470"/>
      <c r="C37" s="302" t="s">
        <v>443</v>
      </c>
      <c r="D37" s="302">
        <v>1066.05</v>
      </c>
      <c r="E37" s="272">
        <f t="shared" si="2"/>
        <v>3.8377799999999995</v>
      </c>
      <c r="F37" s="272">
        <f t="shared" si="0"/>
        <v>101.28741092636578</v>
      </c>
      <c r="G37" s="272">
        <v>2.0373000000000001</v>
      </c>
      <c r="H37" s="272">
        <f t="shared" si="1"/>
        <v>2171.8636649999999</v>
      </c>
      <c r="I37" s="461"/>
      <c r="J37" s="270" t="s">
        <v>132</v>
      </c>
    </row>
    <row r="38" spans="1:10" ht="13" hidden="1">
      <c r="A38" s="484"/>
      <c r="B38" s="470"/>
      <c r="C38" s="302" t="s">
        <v>133</v>
      </c>
      <c r="D38" s="302">
        <v>14322.150000000001</v>
      </c>
      <c r="E38" s="272">
        <f t="shared" si="2"/>
        <v>51.559740000000005</v>
      </c>
      <c r="F38" s="272">
        <f t="shared" si="0"/>
        <v>1360.7743467933492</v>
      </c>
      <c r="G38" s="272">
        <v>2.0373000000000001</v>
      </c>
      <c r="H38" s="272">
        <f t="shared" si="1"/>
        <v>29178.516195000004</v>
      </c>
      <c r="I38" s="461"/>
      <c r="J38" s="270" t="s">
        <v>132</v>
      </c>
    </row>
    <row r="39" spans="1:10" ht="13" hidden="1">
      <c r="A39" s="484"/>
      <c r="B39" s="470"/>
      <c r="C39" s="302" t="s">
        <v>445</v>
      </c>
      <c r="D39" s="302">
        <v>222.48</v>
      </c>
      <c r="E39" s="272">
        <f t="shared" si="2"/>
        <v>0.80092799999999997</v>
      </c>
      <c r="F39" s="272">
        <f t="shared" si="0"/>
        <v>21.138242280285034</v>
      </c>
      <c r="G39" s="272">
        <v>2.0373000000000001</v>
      </c>
      <c r="H39" s="272">
        <f t="shared" si="1"/>
        <v>453.25850400000002</v>
      </c>
      <c r="I39" s="461"/>
      <c r="J39" s="270" t="s">
        <v>132</v>
      </c>
    </row>
    <row r="40" spans="1:10" ht="13" hidden="1">
      <c r="A40" s="484"/>
      <c r="B40" s="470"/>
      <c r="C40" s="302" t="s">
        <v>446</v>
      </c>
      <c r="D40" s="302">
        <v>8329.0949999999993</v>
      </c>
      <c r="E40" s="272">
        <f t="shared" si="2"/>
        <v>29.984741999999997</v>
      </c>
      <c r="F40" s="272">
        <f t="shared" si="0"/>
        <v>791.36294536817093</v>
      </c>
      <c r="G40" s="272">
        <v>2.0373000000000001</v>
      </c>
      <c r="H40" s="272">
        <f t="shared" si="1"/>
        <v>16968.8652435</v>
      </c>
      <c r="I40" s="461"/>
      <c r="J40" s="270" t="s">
        <v>132</v>
      </c>
    </row>
    <row r="41" spans="1:10" ht="13" hidden="1">
      <c r="A41" s="484"/>
      <c r="B41" s="470"/>
      <c r="C41" s="302" t="s">
        <v>134</v>
      </c>
      <c r="D41" s="302">
        <v>1940.211</v>
      </c>
      <c r="E41" s="272">
        <f t="shared" si="2"/>
        <v>6.9847596000000003</v>
      </c>
      <c r="F41" s="272">
        <f t="shared" si="0"/>
        <v>184.34308788598574</v>
      </c>
      <c r="G41" s="272">
        <v>2.0373000000000001</v>
      </c>
      <c r="H41" s="272">
        <f t="shared" si="1"/>
        <v>3952.7918703</v>
      </c>
      <c r="I41" s="461"/>
      <c r="J41" s="270" t="s">
        <v>132</v>
      </c>
    </row>
    <row r="42" spans="1:10" ht="13" hidden="1">
      <c r="A42" s="484"/>
      <c r="B42" s="470"/>
      <c r="C42" s="302" t="s">
        <v>135</v>
      </c>
      <c r="D42" s="302">
        <v>1087.3710000000001</v>
      </c>
      <c r="E42" s="272">
        <f t="shared" si="2"/>
        <v>3.9145356000000002</v>
      </c>
      <c r="F42" s="272">
        <f t="shared" si="0"/>
        <v>103.31315914489311</v>
      </c>
      <c r="G42" s="272">
        <v>2.0373000000000001</v>
      </c>
      <c r="H42" s="272">
        <f t="shared" si="1"/>
        <v>2215.3009383000003</v>
      </c>
      <c r="I42" s="461"/>
      <c r="J42" s="270" t="s">
        <v>132</v>
      </c>
    </row>
    <row r="43" spans="1:10" ht="13" hidden="1">
      <c r="A43" s="484"/>
      <c r="B43" s="470"/>
      <c r="C43" s="302" t="s">
        <v>447</v>
      </c>
      <c r="D43" s="302">
        <v>278.09999999999997</v>
      </c>
      <c r="E43" s="272">
        <f t="shared" si="2"/>
        <v>1.0011599999999998</v>
      </c>
      <c r="F43" s="272">
        <f t="shared" si="0"/>
        <v>26.422802850356288</v>
      </c>
      <c r="G43" s="272">
        <v>2.0373000000000001</v>
      </c>
      <c r="H43" s="272">
        <f t="shared" si="1"/>
        <v>566.57312999999999</v>
      </c>
      <c r="I43" s="461"/>
      <c r="J43" s="270" t="s">
        <v>132</v>
      </c>
    </row>
    <row r="44" spans="1:10" ht="13" hidden="1">
      <c r="A44" s="484"/>
      <c r="B44" s="470"/>
      <c r="C44" s="302" t="s">
        <v>136</v>
      </c>
      <c r="D44" s="302">
        <v>1087.3710000000001</v>
      </c>
      <c r="E44" s="272">
        <f t="shared" si="2"/>
        <v>3.9145356000000002</v>
      </c>
      <c r="F44" s="272">
        <f t="shared" si="0"/>
        <v>103.31315914489311</v>
      </c>
      <c r="G44" s="272">
        <v>2.0373000000000001</v>
      </c>
      <c r="H44" s="272">
        <f t="shared" si="1"/>
        <v>2215.3009383000003</v>
      </c>
      <c r="I44" s="461"/>
      <c r="J44" s="270" t="s">
        <v>132</v>
      </c>
    </row>
    <row r="45" spans="1:10" ht="13" hidden="1">
      <c r="A45" s="484"/>
      <c r="B45" s="470"/>
      <c r="C45" s="302" t="s">
        <v>448</v>
      </c>
      <c r="D45" s="302">
        <v>2966.4</v>
      </c>
      <c r="E45" s="272">
        <f t="shared" si="2"/>
        <v>10.679040000000001</v>
      </c>
      <c r="F45" s="272">
        <f t="shared" si="0"/>
        <v>281.84323040380048</v>
      </c>
      <c r="G45" s="272">
        <v>2.0373000000000001</v>
      </c>
      <c r="H45" s="272">
        <f t="shared" si="1"/>
        <v>6043.4467200000008</v>
      </c>
      <c r="I45" s="461"/>
      <c r="J45" s="270" t="s">
        <v>132</v>
      </c>
    </row>
    <row r="46" spans="1:10" ht="13" hidden="1">
      <c r="A46" s="484"/>
      <c r="B46" s="470"/>
      <c r="C46" s="302" t="s">
        <v>449</v>
      </c>
      <c r="D46" s="302">
        <v>2502.9</v>
      </c>
      <c r="E46" s="272">
        <f t="shared" si="2"/>
        <v>9.0104400000000009</v>
      </c>
      <c r="F46" s="272">
        <f t="shared" si="0"/>
        <v>237.80522565320666</v>
      </c>
      <c r="G46" s="272">
        <v>2.0373000000000001</v>
      </c>
      <c r="H46" s="272">
        <f t="shared" si="1"/>
        <v>5099.1581700000006</v>
      </c>
      <c r="I46" s="461"/>
      <c r="J46" s="270" t="s">
        <v>132</v>
      </c>
    </row>
    <row r="47" spans="1:10" ht="13" hidden="1">
      <c r="A47" s="484"/>
      <c r="B47" s="470"/>
      <c r="C47" s="302" t="s">
        <v>450</v>
      </c>
      <c r="D47" s="302">
        <v>238.239</v>
      </c>
      <c r="E47" s="272">
        <f t="shared" si="2"/>
        <v>0.85766039999999999</v>
      </c>
      <c r="F47" s="272">
        <f t="shared" si="0"/>
        <v>22.635534441805223</v>
      </c>
      <c r="G47" s="272">
        <v>2.0373000000000001</v>
      </c>
      <c r="H47" s="272">
        <f t="shared" si="1"/>
        <v>485.36431470000002</v>
      </c>
      <c r="I47" s="461"/>
      <c r="J47" s="270" t="s">
        <v>137</v>
      </c>
    </row>
    <row r="48" spans="1:10" ht="13" hidden="1">
      <c r="A48" s="484"/>
      <c r="B48" s="470"/>
      <c r="C48" s="302" t="s">
        <v>451</v>
      </c>
      <c r="D48" s="302">
        <v>333.71999999999997</v>
      </c>
      <c r="E48" s="272">
        <f t="shared" si="2"/>
        <v>1.2013919999999998</v>
      </c>
      <c r="F48" s="272">
        <f t="shared" si="0"/>
        <v>31.707363420427548</v>
      </c>
      <c r="G48" s="272">
        <v>2.0373000000000001</v>
      </c>
      <c r="H48" s="272">
        <f t="shared" si="1"/>
        <v>679.88775599999997</v>
      </c>
      <c r="I48" s="461"/>
      <c r="J48" s="270" t="s">
        <v>137</v>
      </c>
    </row>
    <row r="49" spans="1:11" ht="13" hidden="1">
      <c r="A49" s="484"/>
      <c r="B49" s="470"/>
      <c r="C49" s="302" t="s">
        <v>138</v>
      </c>
      <c r="D49" s="302">
        <v>1087.3710000000001</v>
      </c>
      <c r="E49" s="272">
        <f t="shared" si="2"/>
        <v>3.9145356000000002</v>
      </c>
      <c r="F49" s="272">
        <f t="shared" si="0"/>
        <v>103.31315914489311</v>
      </c>
      <c r="G49" s="272">
        <v>2.0373000000000001</v>
      </c>
      <c r="H49" s="272">
        <f t="shared" si="1"/>
        <v>2215.3009383000003</v>
      </c>
      <c r="I49" s="461"/>
      <c r="J49" s="270" t="s">
        <v>137</v>
      </c>
    </row>
    <row r="50" spans="1:11" ht="13" hidden="1">
      <c r="A50" s="484"/>
      <c r="B50" s="470"/>
      <c r="C50" s="302" t="s">
        <v>452</v>
      </c>
      <c r="D50" s="302">
        <v>1026.1890000000001</v>
      </c>
      <c r="E50" s="272">
        <f t="shared" si="2"/>
        <v>3.6942804000000002</v>
      </c>
      <c r="F50" s="272">
        <f t="shared" si="0"/>
        <v>97.500142517814723</v>
      </c>
      <c r="G50" s="272">
        <v>2.0373000000000001</v>
      </c>
      <c r="H50" s="272">
        <f t="shared" si="1"/>
        <v>2090.6548497000003</v>
      </c>
      <c r="I50" s="461"/>
      <c r="J50" s="270" t="s">
        <v>139</v>
      </c>
    </row>
    <row r="51" spans="1:11" ht="13" hidden="1">
      <c r="A51" s="484"/>
      <c r="B51" s="470"/>
      <c r="C51" s="302" t="s">
        <v>453</v>
      </c>
      <c r="D51" s="302">
        <v>1112.3999999999999</v>
      </c>
      <c r="E51" s="272">
        <f t="shared" si="2"/>
        <v>4.0046399999999993</v>
      </c>
      <c r="F51" s="272">
        <f t="shared" si="0"/>
        <v>105.69121140142515</v>
      </c>
      <c r="G51" s="272">
        <v>2.0373000000000001</v>
      </c>
      <c r="H51" s="272">
        <f t="shared" si="1"/>
        <v>2266.29252</v>
      </c>
      <c r="I51" s="461"/>
      <c r="J51" s="270" t="s">
        <v>139</v>
      </c>
    </row>
    <row r="52" spans="1:11" ht="13" hidden="1">
      <c r="A52" s="484"/>
      <c r="B52" s="470"/>
      <c r="C52" s="302" t="s">
        <v>451</v>
      </c>
      <c r="D52" s="302">
        <v>11300.13</v>
      </c>
      <c r="E52" s="272">
        <f t="shared" si="2"/>
        <v>40.680467999999998</v>
      </c>
      <c r="F52" s="272">
        <f t="shared" si="0"/>
        <v>1073.6465558194773</v>
      </c>
      <c r="G52" s="272">
        <v>2.0373000000000001</v>
      </c>
      <c r="H52" s="272">
        <f t="shared" si="1"/>
        <v>23021.754849000001</v>
      </c>
      <c r="I52" s="461"/>
      <c r="J52" s="270" t="s">
        <v>137</v>
      </c>
    </row>
    <row r="53" spans="1:11" ht="13" hidden="1">
      <c r="A53" s="484"/>
      <c r="B53" s="470"/>
      <c r="C53" s="302" t="s">
        <v>451</v>
      </c>
      <c r="D53" s="302">
        <v>1876.248</v>
      </c>
      <c r="E53" s="272">
        <f t="shared" si="2"/>
        <v>6.7544928000000004</v>
      </c>
      <c r="F53" s="272">
        <f t="shared" si="0"/>
        <v>178.26584323040379</v>
      </c>
      <c r="G53" s="272">
        <v>2.0373000000000001</v>
      </c>
      <c r="H53" s="272">
        <f t="shared" si="1"/>
        <v>3822.4800504000004</v>
      </c>
      <c r="I53" s="461"/>
      <c r="J53" s="270" t="s">
        <v>137</v>
      </c>
    </row>
    <row r="54" spans="1:11" ht="13" hidden="1">
      <c r="A54" s="484"/>
      <c r="B54" s="470"/>
      <c r="C54" s="302" t="s">
        <v>201</v>
      </c>
      <c r="D54" s="302">
        <v>16936.29</v>
      </c>
      <c r="E54" s="272">
        <f t="shared" si="2"/>
        <v>60.970644</v>
      </c>
      <c r="F54" s="272">
        <f t="shared" si="0"/>
        <v>1609.1486935866983</v>
      </c>
      <c r="G54" s="272">
        <v>2.0373000000000001</v>
      </c>
      <c r="H54" s="272">
        <f t="shared" si="1"/>
        <v>34504.303617000005</v>
      </c>
      <c r="I54" s="461"/>
      <c r="J54" s="270" t="s">
        <v>137</v>
      </c>
    </row>
    <row r="55" spans="1:11" ht="13" hidden="1">
      <c r="A55" s="484"/>
      <c r="B55" s="470"/>
      <c r="C55" s="302" t="s">
        <v>202</v>
      </c>
      <c r="D55" s="302">
        <v>18743.939999999999</v>
      </c>
      <c r="E55" s="272">
        <f t="shared" si="2"/>
        <v>67.478183999999999</v>
      </c>
      <c r="F55" s="272">
        <f t="shared" si="0"/>
        <v>1780.8969121140142</v>
      </c>
      <c r="G55" s="272">
        <v>2.0373000000000001</v>
      </c>
      <c r="H55" s="272">
        <f t="shared" si="1"/>
        <v>38187.028961999997</v>
      </c>
      <c r="I55" s="461"/>
      <c r="J55" s="270" t="s">
        <v>137</v>
      </c>
    </row>
    <row r="56" spans="1:11" ht="13" hidden="1">
      <c r="A56" s="484"/>
      <c r="B56" s="470"/>
      <c r="C56" s="302" t="s">
        <v>203</v>
      </c>
      <c r="D56" s="302">
        <v>834.3</v>
      </c>
      <c r="E56" s="272">
        <f t="shared" si="2"/>
        <v>3.0034799999999997</v>
      </c>
      <c r="F56" s="272">
        <f t="shared" si="0"/>
        <v>79.268408551068873</v>
      </c>
      <c r="G56" s="272">
        <v>2.0373000000000001</v>
      </c>
      <c r="H56" s="272">
        <f t="shared" si="1"/>
        <v>1699.71939</v>
      </c>
      <c r="I56" s="461"/>
      <c r="J56" s="270" t="s">
        <v>137</v>
      </c>
    </row>
    <row r="57" spans="1:11" ht="13" hidden="1">
      <c r="A57" s="484"/>
      <c r="B57" s="470"/>
      <c r="C57" s="302" t="s">
        <v>204</v>
      </c>
      <c r="D57" s="302">
        <v>611.82000000000005</v>
      </c>
      <c r="E57" s="272">
        <f t="shared" si="2"/>
        <v>2.2025520000000003</v>
      </c>
      <c r="F57" s="272">
        <f t="shared" si="0"/>
        <v>58.130166270783853</v>
      </c>
      <c r="G57" s="272">
        <v>2.0373000000000001</v>
      </c>
      <c r="H57" s="272">
        <f t="shared" si="1"/>
        <v>1246.4608860000001</v>
      </c>
      <c r="I57" s="461"/>
      <c r="J57" s="270" t="s">
        <v>137</v>
      </c>
    </row>
    <row r="58" spans="1:11" ht="13" hidden="1">
      <c r="A58" s="484"/>
      <c r="B58" s="470"/>
      <c r="C58" s="302" t="s">
        <v>205</v>
      </c>
      <c r="D58" s="302">
        <v>21413.7</v>
      </c>
      <c r="E58" s="272">
        <f t="shared" si="2"/>
        <v>77.089320000000001</v>
      </c>
      <c r="F58" s="272">
        <f t="shared" si="0"/>
        <v>2034.5558194774346</v>
      </c>
      <c r="G58" s="272">
        <v>2.0373000000000001</v>
      </c>
      <c r="H58" s="272">
        <f t="shared" si="1"/>
        <v>43626.131010000005</v>
      </c>
      <c r="I58" s="461"/>
      <c r="J58" s="270" t="s">
        <v>137</v>
      </c>
    </row>
    <row r="59" spans="1:11" ht="13" hidden="1">
      <c r="A59" s="484"/>
      <c r="B59" s="470"/>
      <c r="C59" s="302" t="s">
        <v>140</v>
      </c>
      <c r="D59" s="302">
        <v>1334.8799999999999</v>
      </c>
      <c r="E59" s="272">
        <f t="shared" si="2"/>
        <v>4.8055679999999992</v>
      </c>
      <c r="F59" s="272">
        <f t="shared" si="0"/>
        <v>126.82945368171019</v>
      </c>
      <c r="G59" s="272">
        <v>2.0373000000000001</v>
      </c>
      <c r="H59" s="272">
        <f t="shared" si="1"/>
        <v>2719.5510239999999</v>
      </c>
      <c r="I59" s="461"/>
      <c r="J59" s="270" t="s">
        <v>137</v>
      </c>
    </row>
    <row r="60" spans="1:11" ht="13" hidden="1">
      <c r="A60" s="484"/>
      <c r="B60" s="470"/>
      <c r="C60" s="302" t="s">
        <v>141</v>
      </c>
      <c r="D60" s="302">
        <v>2502.9</v>
      </c>
      <c r="E60" s="272">
        <f t="shared" si="2"/>
        <v>9.0104400000000009</v>
      </c>
      <c r="F60" s="272">
        <f t="shared" si="0"/>
        <v>237.80522565320666</v>
      </c>
      <c r="G60" s="272">
        <v>2.0373000000000001</v>
      </c>
      <c r="H60" s="272">
        <f t="shared" si="1"/>
        <v>5099.1581700000006</v>
      </c>
      <c r="I60" s="461"/>
      <c r="J60" s="270" t="s">
        <v>137</v>
      </c>
    </row>
    <row r="61" spans="1:11" ht="13" hidden="1">
      <c r="A61" s="484"/>
      <c r="B61" s="470"/>
      <c r="C61" s="302" t="s">
        <v>16</v>
      </c>
      <c r="D61" s="302">
        <v>1705.68</v>
      </c>
      <c r="E61" s="272">
        <f t="shared" si="2"/>
        <v>6.1404480000000001</v>
      </c>
      <c r="F61" s="272">
        <f t="shared" si="0"/>
        <v>162.05985748218527</v>
      </c>
      <c r="G61" s="272">
        <v>2.0373000000000001</v>
      </c>
      <c r="H61" s="272">
        <f t="shared" si="1"/>
        <v>3474.9818640000003</v>
      </c>
      <c r="I61" s="461"/>
      <c r="J61" s="270" t="s">
        <v>137</v>
      </c>
    </row>
    <row r="62" spans="1:11" ht="13" hidden="1">
      <c r="A62" s="484"/>
      <c r="B62" s="470"/>
      <c r="C62" s="302" t="s">
        <v>17</v>
      </c>
      <c r="D62" s="302">
        <v>1066.0500000000002</v>
      </c>
      <c r="E62" s="272">
        <f t="shared" si="2"/>
        <v>3.8377800000000004</v>
      </c>
      <c r="F62" s="272">
        <f t="shared" si="0"/>
        <v>101.28741092636581</v>
      </c>
      <c r="G62" s="272">
        <v>2.0373000000000001</v>
      </c>
      <c r="H62" s="272">
        <f t="shared" si="1"/>
        <v>2171.8636650000003</v>
      </c>
      <c r="I62" s="461"/>
      <c r="J62" s="270" t="s">
        <v>137</v>
      </c>
      <c r="K62" s="291">
        <f>SUM(I31+I73)</f>
        <v>12960752.347293761</v>
      </c>
    </row>
    <row r="63" spans="1:11" ht="13" hidden="1">
      <c r="A63" s="484"/>
      <c r="B63" s="470"/>
      <c r="C63" s="302" t="s">
        <v>17</v>
      </c>
      <c r="D63" s="302">
        <v>1112.3999999999999</v>
      </c>
      <c r="E63" s="272">
        <f t="shared" si="2"/>
        <v>4.0046399999999993</v>
      </c>
      <c r="F63" s="272">
        <f t="shared" si="0"/>
        <v>105.69121140142515</v>
      </c>
      <c r="G63" s="272">
        <v>2.0373000000000001</v>
      </c>
      <c r="H63" s="272">
        <f t="shared" si="1"/>
        <v>2266.29252</v>
      </c>
      <c r="I63" s="461"/>
      <c r="J63" s="270" t="s">
        <v>137</v>
      </c>
      <c r="K63" s="105">
        <f>K62*0.000001</f>
        <v>12.960752347293759</v>
      </c>
    </row>
    <row r="64" spans="1:11" ht="13" hidden="1">
      <c r="A64" s="484"/>
      <c r="B64" s="470"/>
      <c r="C64" s="302" t="s">
        <v>18</v>
      </c>
      <c r="D64" s="302">
        <v>1279.26</v>
      </c>
      <c r="E64" s="272">
        <f t="shared" si="2"/>
        <v>4.6053359999999994</v>
      </c>
      <c r="F64" s="272">
        <f t="shared" si="0"/>
        <v>121.54489311163893</v>
      </c>
      <c r="G64" s="272">
        <v>2.0373000000000001</v>
      </c>
      <c r="H64" s="272">
        <f t="shared" si="1"/>
        <v>2606.236398</v>
      </c>
      <c r="I64" s="461"/>
      <c r="J64" s="270" t="s">
        <v>137</v>
      </c>
    </row>
    <row r="65" spans="1:11" ht="13" hidden="1">
      <c r="A65" s="484"/>
      <c r="B65" s="470"/>
      <c r="C65" s="302" t="s">
        <v>19</v>
      </c>
      <c r="D65" s="302">
        <v>1087.3710000000001</v>
      </c>
      <c r="E65" s="272">
        <f t="shared" si="2"/>
        <v>3.9145356000000002</v>
      </c>
      <c r="F65" s="272">
        <f t="shared" si="0"/>
        <v>103.31315914489311</v>
      </c>
      <c r="G65" s="272">
        <v>2.0373000000000001</v>
      </c>
      <c r="H65" s="272">
        <f t="shared" si="1"/>
        <v>2215.3009383000003</v>
      </c>
      <c r="I65" s="461"/>
      <c r="J65" s="270" t="s">
        <v>137</v>
      </c>
      <c r="K65" s="291"/>
    </row>
    <row r="66" spans="1:11" ht="13" hidden="1">
      <c r="A66" s="484"/>
      <c r="B66" s="470"/>
      <c r="C66" s="302" t="s">
        <v>20</v>
      </c>
      <c r="D66" s="302">
        <v>1833.606</v>
      </c>
      <c r="E66" s="272">
        <f t="shared" si="2"/>
        <v>6.6009815999999999</v>
      </c>
      <c r="F66" s="272">
        <f t="shared" si="0"/>
        <v>174.21434679334916</v>
      </c>
      <c r="G66" s="272">
        <v>2.0373000000000001</v>
      </c>
      <c r="H66" s="272">
        <f t="shared" si="1"/>
        <v>3735.6055038000004</v>
      </c>
      <c r="I66" s="461"/>
      <c r="J66" s="270" t="s">
        <v>137</v>
      </c>
    </row>
    <row r="67" spans="1:11" ht="13" hidden="1">
      <c r="A67" s="484"/>
      <c r="B67" s="470"/>
      <c r="C67" s="302" t="s">
        <v>141</v>
      </c>
      <c r="D67" s="302">
        <v>51448.5</v>
      </c>
      <c r="E67" s="272">
        <f t="shared" si="2"/>
        <v>185.21459999999999</v>
      </c>
      <c r="F67" s="272">
        <f t="shared" si="0"/>
        <v>4888.2185273159139</v>
      </c>
      <c r="G67" s="272">
        <v>2.0373000000000001</v>
      </c>
      <c r="H67" s="272">
        <f t="shared" si="1"/>
        <v>104816.02905000001</v>
      </c>
      <c r="I67" s="461"/>
      <c r="J67" s="270" t="s">
        <v>137</v>
      </c>
    </row>
    <row r="68" spans="1:11" ht="13" hidden="1">
      <c r="A68" s="484"/>
      <c r="B68" s="470"/>
      <c r="C68" s="302" t="s">
        <v>141</v>
      </c>
      <c r="D68" s="302">
        <v>2183.085</v>
      </c>
      <c r="E68" s="272">
        <f t="shared" si="2"/>
        <v>7.8591059999999997</v>
      </c>
      <c r="F68" s="272">
        <f t="shared" si="0"/>
        <v>207.41900237529688</v>
      </c>
      <c r="G68" s="272">
        <v>2.0373000000000001</v>
      </c>
      <c r="H68" s="272">
        <f t="shared" si="1"/>
        <v>4447.5990705000004</v>
      </c>
      <c r="I68" s="461"/>
      <c r="J68" s="270" t="s">
        <v>137</v>
      </c>
    </row>
    <row r="69" spans="1:11" ht="13" hidden="1">
      <c r="A69" s="484"/>
      <c r="B69" s="470"/>
      <c r="C69" s="302" t="s">
        <v>21</v>
      </c>
      <c r="D69" s="302">
        <v>2502.9</v>
      </c>
      <c r="E69" s="272">
        <f t="shared" si="2"/>
        <v>9.0104400000000009</v>
      </c>
      <c r="F69" s="272">
        <f t="shared" si="0"/>
        <v>237.80522565320666</v>
      </c>
      <c r="G69" s="272">
        <v>2.0373000000000001</v>
      </c>
      <c r="H69" s="272">
        <f t="shared" si="1"/>
        <v>5099.1581700000006</v>
      </c>
      <c r="I69" s="461"/>
      <c r="J69" s="270" t="s">
        <v>137</v>
      </c>
    </row>
    <row r="70" spans="1:11" ht="13" hidden="1">
      <c r="A70" s="484"/>
      <c r="B70" s="470"/>
      <c r="C70" s="302" t="s">
        <v>18</v>
      </c>
      <c r="D70" s="302">
        <v>1279.26</v>
      </c>
      <c r="E70" s="272">
        <f t="shared" si="2"/>
        <v>4.6053359999999994</v>
      </c>
      <c r="F70" s="272">
        <f t="shared" si="0"/>
        <v>121.54489311163893</v>
      </c>
      <c r="G70" s="272">
        <v>2.0373000000000001</v>
      </c>
      <c r="H70" s="272">
        <f t="shared" si="1"/>
        <v>2606.236398</v>
      </c>
      <c r="I70" s="461"/>
      <c r="J70" s="270" t="s">
        <v>137</v>
      </c>
    </row>
    <row r="71" spans="1:11" ht="13" hidden="1">
      <c r="A71" s="484"/>
      <c r="B71" s="470"/>
      <c r="C71" s="302" t="s">
        <v>22</v>
      </c>
      <c r="D71" s="302">
        <v>1112.3999999999999</v>
      </c>
      <c r="E71" s="272">
        <f t="shared" si="2"/>
        <v>4.0046399999999993</v>
      </c>
      <c r="F71" s="272">
        <f t="shared" si="0"/>
        <v>105.69121140142515</v>
      </c>
      <c r="G71" s="272">
        <v>2.0373000000000001</v>
      </c>
      <c r="H71" s="272">
        <f t="shared" si="1"/>
        <v>2266.29252</v>
      </c>
      <c r="I71" s="461"/>
      <c r="J71" s="270" t="s">
        <v>137</v>
      </c>
    </row>
    <row r="72" spans="1:11" ht="13" hidden="1">
      <c r="A72" s="484"/>
      <c r="B72" s="470"/>
      <c r="C72" s="302" t="s">
        <v>23</v>
      </c>
      <c r="D72" s="302">
        <v>2196.0630000000001</v>
      </c>
      <c r="E72" s="272">
        <f t="shared" si="2"/>
        <v>7.9058267999999998</v>
      </c>
      <c r="F72" s="272">
        <f t="shared" si="0"/>
        <v>208.65206650831351</v>
      </c>
      <c r="G72" s="272">
        <v>2.0373000000000001</v>
      </c>
      <c r="H72" s="272">
        <f t="shared" si="1"/>
        <v>4474.0391499000007</v>
      </c>
      <c r="I72" s="461"/>
      <c r="J72" s="270" t="s">
        <v>137</v>
      </c>
    </row>
    <row r="73" spans="1:11" ht="13" hidden="1">
      <c r="A73" s="484"/>
      <c r="B73" s="486" t="s">
        <v>24</v>
      </c>
      <c r="C73" s="298" t="s">
        <v>334</v>
      </c>
      <c r="D73" s="298">
        <v>515</v>
      </c>
      <c r="E73" s="273">
        <f t="shared" si="2"/>
        <v>1.8539999999999999</v>
      </c>
      <c r="F73" s="273">
        <f t="shared" si="0"/>
        <v>48.931116389548684</v>
      </c>
      <c r="G73" s="273">
        <v>1889.36</v>
      </c>
      <c r="H73" s="273">
        <f>G73*F73</f>
        <v>92448.494061757694</v>
      </c>
      <c r="I73" s="462">
        <f>SUM(H73:H85)</f>
        <v>12561790.434918761</v>
      </c>
      <c r="J73" s="271" t="s">
        <v>25</v>
      </c>
    </row>
    <row r="74" spans="1:11" ht="13" hidden="1">
      <c r="A74" s="484"/>
      <c r="B74" s="486"/>
      <c r="C74" s="298" t="s">
        <v>334</v>
      </c>
      <c r="D74" s="298">
        <v>515</v>
      </c>
      <c r="E74" s="273">
        <f t="shared" si="2"/>
        <v>1.8539999999999999</v>
      </c>
      <c r="F74" s="273">
        <f t="shared" si="0"/>
        <v>48.931116389548684</v>
      </c>
      <c r="G74" s="273">
        <v>1889.36</v>
      </c>
      <c r="H74" s="273">
        <f t="shared" ref="H74:H84" si="3">G74*F74</f>
        <v>92448.494061757694</v>
      </c>
      <c r="I74" s="462"/>
      <c r="J74" s="271" t="s">
        <v>25</v>
      </c>
    </row>
    <row r="75" spans="1:11" ht="13" hidden="1">
      <c r="A75" s="484"/>
      <c r="B75" s="486"/>
      <c r="C75" s="298" t="s">
        <v>21</v>
      </c>
      <c r="D75" s="298">
        <v>2502.9</v>
      </c>
      <c r="E75" s="273">
        <f t="shared" si="2"/>
        <v>9.0104400000000009</v>
      </c>
      <c r="F75" s="273">
        <f t="shared" si="0"/>
        <v>237.80522565320666</v>
      </c>
      <c r="G75" s="273">
        <v>1889.36</v>
      </c>
      <c r="H75" s="273">
        <f t="shared" si="3"/>
        <v>449299.68114014249</v>
      </c>
      <c r="I75" s="462"/>
      <c r="J75" s="271" t="s">
        <v>25</v>
      </c>
    </row>
    <row r="76" spans="1:11" ht="13" hidden="1">
      <c r="A76" s="484"/>
      <c r="B76" s="486"/>
      <c r="C76" s="298" t="s">
        <v>21</v>
      </c>
      <c r="D76" s="298">
        <v>2502.9</v>
      </c>
      <c r="E76" s="273">
        <f t="shared" si="2"/>
        <v>9.0104400000000009</v>
      </c>
      <c r="F76" s="273">
        <f>E76*E$25</f>
        <v>237.80522565320666</v>
      </c>
      <c r="G76" s="273">
        <v>1889.36</v>
      </c>
      <c r="H76" s="273">
        <f t="shared" si="3"/>
        <v>449299.68114014249</v>
      </c>
      <c r="I76" s="462"/>
      <c r="J76" s="271" t="s">
        <v>25</v>
      </c>
    </row>
    <row r="77" spans="1:11" ht="13" hidden="1">
      <c r="A77" s="484"/>
      <c r="B77" s="486"/>
      <c r="C77" s="298" t="s">
        <v>26</v>
      </c>
      <c r="D77" s="298">
        <v>617.99999999999989</v>
      </c>
      <c r="E77" s="273">
        <f t="shared" si="2"/>
        <v>2.2247999999999997</v>
      </c>
      <c r="F77" s="273">
        <f t="shared" si="0"/>
        <v>58.717339667458418</v>
      </c>
      <c r="G77" s="273">
        <v>1889.36</v>
      </c>
      <c r="H77" s="273">
        <f t="shared" si="3"/>
        <v>110938.19287410923</v>
      </c>
      <c r="I77" s="462"/>
      <c r="J77" s="271" t="s">
        <v>25</v>
      </c>
    </row>
    <row r="78" spans="1:11" ht="13" hidden="1">
      <c r="A78" s="484"/>
      <c r="B78" s="486"/>
      <c r="C78" s="298" t="s">
        <v>27</v>
      </c>
      <c r="D78" s="298">
        <v>1421.3999999999999</v>
      </c>
      <c r="E78" s="273">
        <f t="shared" si="2"/>
        <v>5.1170399999999994</v>
      </c>
      <c r="F78" s="273">
        <f t="shared" si="0"/>
        <v>135.04988123515437</v>
      </c>
      <c r="G78" s="273">
        <v>1889.36</v>
      </c>
      <c r="H78" s="273">
        <f t="shared" si="3"/>
        <v>255157.84361045127</v>
      </c>
      <c r="I78" s="462"/>
      <c r="J78" s="271" t="s">
        <v>25</v>
      </c>
    </row>
    <row r="79" spans="1:11" ht="13" hidden="1">
      <c r="A79" s="484"/>
      <c r="B79" s="486"/>
      <c r="C79" s="298" t="s">
        <v>27</v>
      </c>
      <c r="D79" s="298">
        <v>1421.3999999999999</v>
      </c>
      <c r="E79" s="273">
        <f t="shared" si="2"/>
        <v>5.1170399999999994</v>
      </c>
      <c r="F79" s="273">
        <f t="shared" si="0"/>
        <v>135.04988123515437</v>
      </c>
      <c r="G79" s="273">
        <v>1889.36</v>
      </c>
      <c r="H79" s="273">
        <f t="shared" si="3"/>
        <v>255157.84361045127</v>
      </c>
      <c r="I79" s="462"/>
      <c r="J79" s="271" t="s">
        <v>25</v>
      </c>
    </row>
    <row r="80" spans="1:11" ht="13" hidden="1">
      <c r="A80" s="484"/>
      <c r="B80" s="486"/>
      <c r="C80" s="298" t="s">
        <v>28</v>
      </c>
      <c r="D80" s="298">
        <v>27167.279999999999</v>
      </c>
      <c r="E80" s="273">
        <f t="shared" si="2"/>
        <v>97.802207999999993</v>
      </c>
      <c r="F80" s="273">
        <f t="shared" si="0"/>
        <v>2581.2142517814723</v>
      </c>
      <c r="G80" s="273">
        <v>1889.36</v>
      </c>
      <c r="H80" s="273">
        <f>G80*F80</f>
        <v>4876842.9587458419</v>
      </c>
      <c r="I80" s="462"/>
      <c r="J80" s="271" t="s">
        <v>25</v>
      </c>
    </row>
    <row r="81" spans="1:11" ht="13" hidden="1">
      <c r="A81" s="484"/>
      <c r="B81" s="486"/>
      <c r="C81" s="298" t="s">
        <v>28</v>
      </c>
      <c r="D81" s="298">
        <v>27167.279999999999</v>
      </c>
      <c r="E81" s="273">
        <f t="shared" si="2"/>
        <v>97.802207999999993</v>
      </c>
      <c r="F81" s="273">
        <f t="shared" si="0"/>
        <v>2581.2142517814723</v>
      </c>
      <c r="G81" s="273">
        <v>1889.36</v>
      </c>
      <c r="H81" s="273">
        <f t="shared" si="3"/>
        <v>4876842.9587458419</v>
      </c>
      <c r="I81" s="462"/>
      <c r="J81" s="271" t="s">
        <v>25</v>
      </c>
    </row>
    <row r="82" spans="1:11" ht="13" hidden="1">
      <c r="A82" s="484"/>
      <c r="B82" s="486"/>
      <c r="C82" s="298" t="s">
        <v>29</v>
      </c>
      <c r="D82" s="298">
        <v>1133</v>
      </c>
      <c r="E82" s="273">
        <f t="shared" si="2"/>
        <v>4.0788000000000002</v>
      </c>
      <c r="F82" s="273">
        <f t="shared" si="0"/>
        <v>107.64845605700712</v>
      </c>
      <c r="G82" s="273">
        <v>1889.36</v>
      </c>
      <c r="H82" s="273">
        <f t="shared" si="3"/>
        <v>203386.68693586698</v>
      </c>
      <c r="I82" s="462"/>
      <c r="J82" s="271" t="s">
        <v>25</v>
      </c>
    </row>
    <row r="83" spans="1:11" ht="13" hidden="1">
      <c r="A83" s="484"/>
      <c r="B83" s="486"/>
      <c r="C83" s="298" t="s">
        <v>29</v>
      </c>
      <c r="D83" s="298">
        <v>1133</v>
      </c>
      <c r="E83" s="273">
        <f t="shared" si="2"/>
        <v>4.0788000000000002</v>
      </c>
      <c r="F83" s="273">
        <f t="shared" si="0"/>
        <v>107.64845605700712</v>
      </c>
      <c r="G83" s="273">
        <v>1889.36</v>
      </c>
      <c r="H83" s="273">
        <f t="shared" si="3"/>
        <v>203386.68693586698</v>
      </c>
      <c r="I83" s="462"/>
      <c r="J83" s="271" t="s">
        <v>25</v>
      </c>
    </row>
    <row r="84" spans="1:11" ht="13" hidden="1">
      <c r="A84" s="484"/>
      <c r="B84" s="486"/>
      <c r="C84" s="298" t="s">
        <v>30</v>
      </c>
      <c r="D84" s="300">
        <v>1940.211</v>
      </c>
      <c r="E84" s="273">
        <f t="shared" si="2"/>
        <v>6.9847596000000003</v>
      </c>
      <c r="F84" s="273">
        <f t="shared" si="0"/>
        <v>184.34308788598574</v>
      </c>
      <c r="G84" s="273">
        <v>1889.36</v>
      </c>
      <c r="H84" s="273">
        <f t="shared" si="3"/>
        <v>348290.45652826602</v>
      </c>
      <c r="I84" s="462"/>
      <c r="J84" s="271" t="s">
        <v>25</v>
      </c>
    </row>
    <row r="85" spans="1:11" ht="13" hidden="1">
      <c r="A85" s="484"/>
      <c r="B85" s="486"/>
      <c r="C85" s="298" t="s">
        <v>30</v>
      </c>
      <c r="D85" s="300">
        <v>1940.211</v>
      </c>
      <c r="E85" s="273">
        <f t="shared" si="2"/>
        <v>6.9847596000000003</v>
      </c>
      <c r="F85" s="273">
        <f t="shared" si="0"/>
        <v>184.34308788598574</v>
      </c>
      <c r="G85" s="273">
        <v>1889.36</v>
      </c>
      <c r="H85" s="273">
        <f>G85*F85</f>
        <v>348290.45652826602</v>
      </c>
      <c r="I85" s="462"/>
      <c r="J85" s="271" t="s">
        <v>25</v>
      </c>
    </row>
    <row r="86" spans="1:11" hidden="1">
      <c r="A86" s="472" t="s">
        <v>31</v>
      </c>
      <c r="B86" s="470" t="s">
        <v>32</v>
      </c>
      <c r="C86" s="269" t="s">
        <v>259</v>
      </c>
      <c r="D86" s="272">
        <v>1001.1600000000001</v>
      </c>
      <c r="E86" s="272">
        <f>D86*E$22</f>
        <v>3.6041760000000003</v>
      </c>
      <c r="F86" s="272">
        <f t="shared" si="0"/>
        <v>95.122090261282665</v>
      </c>
      <c r="G86" s="272">
        <v>2.0373000000000001</v>
      </c>
      <c r="H86" s="272">
        <f>G86*D86</f>
        <v>2039.6632680000002</v>
      </c>
      <c r="I86" s="461">
        <f>SUM(H86:H95)</f>
        <v>55835.781961500004</v>
      </c>
      <c r="J86" s="270" t="s">
        <v>137</v>
      </c>
    </row>
    <row r="87" spans="1:11" hidden="1">
      <c r="A87" s="472"/>
      <c r="B87" s="470"/>
      <c r="C87" s="269" t="s">
        <v>260</v>
      </c>
      <c r="D87" s="272">
        <v>1752.03</v>
      </c>
      <c r="E87" s="272">
        <f t="shared" si="2"/>
        <v>6.3073079999999999</v>
      </c>
      <c r="F87" s="272">
        <f t="shared" si="0"/>
        <v>166.46365795724464</v>
      </c>
      <c r="G87" s="272">
        <v>2.0373000000000001</v>
      </c>
      <c r="H87" s="272">
        <f t="shared" ref="H87:H95" si="4">G87*D87</f>
        <v>3569.410719</v>
      </c>
      <c r="I87" s="463"/>
      <c r="J87" s="270" t="s">
        <v>137</v>
      </c>
    </row>
    <row r="88" spans="1:11" hidden="1">
      <c r="A88" s="472"/>
      <c r="B88" s="470"/>
      <c r="C88" s="269" t="s">
        <v>177</v>
      </c>
      <c r="D88" s="272">
        <v>5756.6699999999992</v>
      </c>
      <c r="E88" s="272">
        <f t="shared" si="2"/>
        <v>20.724011999999995</v>
      </c>
      <c r="F88" s="272">
        <f t="shared" si="0"/>
        <v>546.9520190023751</v>
      </c>
      <c r="G88" s="272">
        <v>2.0373000000000001</v>
      </c>
      <c r="H88" s="272">
        <f t="shared" si="4"/>
        <v>11728.063790999999</v>
      </c>
      <c r="I88" s="463"/>
      <c r="J88" s="270" t="s">
        <v>161</v>
      </c>
    </row>
    <row r="89" spans="1:11" hidden="1">
      <c r="A89" s="472"/>
      <c r="B89" s="470"/>
      <c r="C89" s="269" t="s">
        <v>388</v>
      </c>
      <c r="D89" s="272">
        <v>6757.8300000000008</v>
      </c>
      <c r="E89" s="272">
        <f t="shared" si="2"/>
        <v>24.328188000000001</v>
      </c>
      <c r="F89" s="272">
        <f t="shared" si="0"/>
        <v>642.07410926365799</v>
      </c>
      <c r="G89" s="272">
        <v>2.0373000000000001</v>
      </c>
      <c r="H89" s="272">
        <f t="shared" si="4"/>
        <v>13767.727059000003</v>
      </c>
      <c r="I89" s="463"/>
      <c r="J89" s="270" t="s">
        <v>161</v>
      </c>
    </row>
    <row r="90" spans="1:11" hidden="1">
      <c r="A90" s="472"/>
      <c r="B90" s="470"/>
      <c r="C90" s="269" t="s">
        <v>501</v>
      </c>
      <c r="D90" s="272">
        <v>500.58000000000004</v>
      </c>
      <c r="E90" s="272">
        <f t="shared" si="2"/>
        <v>1.8020880000000001</v>
      </c>
      <c r="F90" s="272">
        <f t="shared" si="0"/>
        <v>47.561045130641332</v>
      </c>
      <c r="G90" s="272">
        <v>2.0373000000000001</v>
      </c>
      <c r="H90" s="272">
        <f t="shared" si="4"/>
        <v>1019.8316340000001</v>
      </c>
      <c r="I90" s="463"/>
      <c r="J90" s="270" t="s">
        <v>161</v>
      </c>
      <c r="K90" s="105">
        <f>I86*0.000001</f>
        <v>5.5835781961499999E-2</v>
      </c>
    </row>
    <row r="91" spans="1:11" hidden="1">
      <c r="A91" s="472"/>
      <c r="B91" s="470"/>
      <c r="C91" s="269" t="s">
        <v>389</v>
      </c>
      <c r="D91" s="272">
        <v>3754.35</v>
      </c>
      <c r="E91" s="272">
        <f t="shared" si="2"/>
        <v>13.515659999999999</v>
      </c>
      <c r="F91" s="272">
        <f t="shared" si="0"/>
        <v>356.70783847980994</v>
      </c>
      <c r="G91" s="272">
        <v>2.0373000000000001</v>
      </c>
      <c r="H91" s="272">
        <f t="shared" si="4"/>
        <v>7648.737255</v>
      </c>
      <c r="I91" s="463"/>
      <c r="J91" s="270" t="s">
        <v>161</v>
      </c>
    </row>
    <row r="92" spans="1:11" hidden="1">
      <c r="A92" s="472"/>
      <c r="B92" s="470"/>
      <c r="C92" s="269" t="s">
        <v>390</v>
      </c>
      <c r="D92" s="272">
        <v>1001.1600000000001</v>
      </c>
      <c r="E92" s="272">
        <f t="shared" si="2"/>
        <v>3.6041760000000003</v>
      </c>
      <c r="F92" s="272">
        <f t="shared" si="0"/>
        <v>95.122090261282665</v>
      </c>
      <c r="G92" s="272">
        <v>2.0373000000000001</v>
      </c>
      <c r="H92" s="272">
        <f t="shared" si="4"/>
        <v>2039.6632680000002</v>
      </c>
      <c r="I92" s="463"/>
      <c r="J92" s="270" t="s">
        <v>161</v>
      </c>
    </row>
    <row r="93" spans="1:11" hidden="1">
      <c r="A93" s="472"/>
      <c r="B93" s="470"/>
      <c r="C93" s="269" t="s">
        <v>391</v>
      </c>
      <c r="D93" s="272">
        <v>3003.4799999999996</v>
      </c>
      <c r="E93" s="272">
        <f t="shared" si="2"/>
        <v>10.812527999999999</v>
      </c>
      <c r="F93" s="272">
        <f t="shared" si="0"/>
        <v>285.36627078384794</v>
      </c>
      <c r="G93" s="272">
        <v>2.0373000000000001</v>
      </c>
      <c r="H93" s="272">
        <f t="shared" si="4"/>
        <v>6118.9898039999998</v>
      </c>
      <c r="I93" s="463"/>
      <c r="J93" s="270" t="s">
        <v>161</v>
      </c>
    </row>
    <row r="94" spans="1:11" hidden="1">
      <c r="A94" s="472"/>
      <c r="B94" s="470"/>
      <c r="C94" s="269" t="s">
        <v>392</v>
      </c>
      <c r="D94" s="272">
        <v>876.01499999999999</v>
      </c>
      <c r="E94" s="272">
        <f t="shared" si="2"/>
        <v>3.153654</v>
      </c>
      <c r="F94" s="272">
        <f t="shared" si="0"/>
        <v>83.231828978622318</v>
      </c>
      <c r="G94" s="272">
        <v>2.0373000000000001</v>
      </c>
      <c r="H94" s="272">
        <f t="shared" si="4"/>
        <v>1784.7053595</v>
      </c>
      <c r="I94" s="463"/>
      <c r="J94" s="270" t="s">
        <v>161</v>
      </c>
    </row>
    <row r="95" spans="1:11" ht="13" hidden="1" thickBot="1">
      <c r="A95" s="473"/>
      <c r="B95" s="471"/>
      <c r="C95" s="306" t="s">
        <v>393</v>
      </c>
      <c r="D95" s="307">
        <v>3003.4799999999996</v>
      </c>
      <c r="E95" s="307">
        <f t="shared" si="2"/>
        <v>10.812527999999999</v>
      </c>
      <c r="F95" s="307">
        <f t="shared" si="0"/>
        <v>285.36627078384794</v>
      </c>
      <c r="G95" s="307">
        <v>2.0373000000000001</v>
      </c>
      <c r="H95" s="307">
        <f t="shared" si="4"/>
        <v>6118.9898039999998</v>
      </c>
      <c r="I95" s="464"/>
      <c r="J95" s="308" t="s">
        <v>161</v>
      </c>
    </row>
    <row r="96" spans="1:11" ht="13" hidden="1" thickBot="1">
      <c r="D96" s="290"/>
      <c r="G96" s="112"/>
    </row>
    <row r="97" spans="1:10">
      <c r="A97" s="474" t="s">
        <v>162</v>
      </c>
      <c r="B97" s="475"/>
      <c r="C97" s="475"/>
      <c r="D97" s="286">
        <f>SUM(E31:E95)</f>
        <v>1055.5671131999998</v>
      </c>
    </row>
    <row r="98" spans="1:10">
      <c r="A98" s="476" t="s">
        <v>163</v>
      </c>
      <c r="B98" s="477"/>
      <c r="C98" s="477"/>
      <c r="D98" s="287">
        <f>SUM(I31+I86)*0.000001</f>
        <v>0.45479769433650002</v>
      </c>
    </row>
    <row r="99" spans="1:10" ht="15">
      <c r="A99" s="476" t="s">
        <v>164</v>
      </c>
      <c r="B99" s="477"/>
      <c r="C99" s="477"/>
      <c r="D99" s="287">
        <f>I73*0.000001</f>
        <v>12.561790434918761</v>
      </c>
      <c r="F99" s="305"/>
    </row>
    <row r="100" spans="1:10" ht="13" thickBot="1">
      <c r="A100" s="468" t="s">
        <v>165</v>
      </c>
      <c r="B100" s="469"/>
      <c r="C100" s="469"/>
      <c r="D100" s="288">
        <v>0</v>
      </c>
    </row>
    <row r="101" spans="1:10" ht="13" thickBot="1">
      <c r="A101" s="239" t="s">
        <v>166</v>
      </c>
      <c r="B101" s="240"/>
      <c r="C101" s="240"/>
      <c r="D101" s="289">
        <f>SUM(D98:D100)</f>
        <v>13.016588129255261</v>
      </c>
    </row>
    <row r="104" spans="1:10" ht="13" thickBot="1">
      <c r="A104" s="466" t="s">
        <v>167</v>
      </c>
      <c r="B104" s="467"/>
      <c r="C104" s="467"/>
      <c r="D104" s="467"/>
    </row>
    <row r="105" spans="1:10" ht="14" hidden="1" thickBot="1">
      <c r="A105" s="311" t="s">
        <v>42</v>
      </c>
      <c r="B105" s="312" t="s">
        <v>43</v>
      </c>
      <c r="C105" s="312" t="s">
        <v>44</v>
      </c>
      <c r="D105" s="313" t="s">
        <v>45</v>
      </c>
      <c r="E105" s="314" t="s">
        <v>46</v>
      </c>
      <c r="F105" s="312" t="s">
        <v>47</v>
      </c>
      <c r="G105" s="312" t="s">
        <v>48</v>
      </c>
      <c r="H105" s="312" t="s">
        <v>49</v>
      </c>
      <c r="I105" s="312" t="s">
        <v>50</v>
      </c>
      <c r="J105" s="315" t="s">
        <v>51</v>
      </c>
    </row>
    <row r="106" spans="1:10" ht="13" hidden="1">
      <c r="A106" s="478" t="s">
        <v>52</v>
      </c>
      <c r="B106" s="465" t="s">
        <v>429</v>
      </c>
      <c r="C106" s="320" t="s">
        <v>551</v>
      </c>
      <c r="D106" s="320">
        <v>2213.9155999999998</v>
      </c>
      <c r="E106" s="303">
        <f>D106*E$22</f>
        <v>7.9700961599999989</v>
      </c>
      <c r="F106" s="303">
        <f t="shared" ref="F106:F162" si="5">E106*E$25</f>
        <v>210.34827553444177</v>
      </c>
      <c r="G106" s="303">
        <v>2.0373000000000001</v>
      </c>
      <c r="H106" s="303">
        <f>G106*D106</f>
        <v>4510.41025188</v>
      </c>
      <c r="I106" s="465">
        <f>SUM(H106:H152)</f>
        <v>326987.14881253196</v>
      </c>
      <c r="J106" s="319" t="s">
        <v>53</v>
      </c>
    </row>
    <row r="107" spans="1:10" ht="13" hidden="1">
      <c r="A107" s="479"/>
      <c r="B107" s="451"/>
      <c r="C107" s="304" t="s">
        <v>54</v>
      </c>
      <c r="D107" s="304">
        <v>3454.4639999999999</v>
      </c>
      <c r="E107" s="279">
        <f t="shared" ref="E107:E162" si="6">D107*E$22</f>
        <v>12.4360704</v>
      </c>
      <c r="F107" s="279">
        <f t="shared" si="5"/>
        <v>328.21510688836105</v>
      </c>
      <c r="G107" s="279">
        <v>2.0373000000000001</v>
      </c>
      <c r="H107" s="279">
        <f t="shared" ref="H107:H152" si="7">G107*D107</f>
        <v>7037.7795071999999</v>
      </c>
      <c r="I107" s="452"/>
      <c r="J107" s="280" t="s">
        <v>53</v>
      </c>
    </row>
    <row r="108" spans="1:10" ht="13" hidden="1">
      <c r="A108" s="479"/>
      <c r="B108" s="451"/>
      <c r="C108" s="304" t="s">
        <v>55</v>
      </c>
      <c r="D108" s="304">
        <v>1344.902</v>
      </c>
      <c r="E108" s="279">
        <f t="shared" si="6"/>
        <v>4.8416471999999997</v>
      </c>
      <c r="F108" s="279">
        <f t="shared" si="5"/>
        <v>127.78166270783846</v>
      </c>
      <c r="G108" s="279">
        <v>2.0373000000000001</v>
      </c>
      <c r="H108" s="279">
        <f t="shared" si="7"/>
        <v>2739.9688446</v>
      </c>
      <c r="I108" s="452"/>
      <c r="J108" s="280" t="s">
        <v>53</v>
      </c>
    </row>
    <row r="109" spans="1:10" ht="13" hidden="1">
      <c r="A109" s="479"/>
      <c r="B109" s="451"/>
      <c r="C109" s="304" t="s">
        <v>56</v>
      </c>
      <c r="D109" s="304">
        <v>434.5068</v>
      </c>
      <c r="E109" s="279">
        <f t="shared" si="6"/>
        <v>1.56422448</v>
      </c>
      <c r="F109" s="279">
        <f t="shared" si="5"/>
        <v>41.283306413301659</v>
      </c>
      <c r="G109" s="279">
        <v>2.0373000000000001</v>
      </c>
      <c r="H109" s="279">
        <f t="shared" si="7"/>
        <v>885.22070364000001</v>
      </c>
      <c r="I109" s="452"/>
      <c r="J109" s="280" t="s">
        <v>53</v>
      </c>
    </row>
    <row r="110" spans="1:10" ht="13" hidden="1">
      <c r="A110" s="479"/>
      <c r="B110" s="451"/>
      <c r="C110" s="304" t="s">
        <v>552</v>
      </c>
      <c r="D110" s="304">
        <v>1965.6260000000002</v>
      </c>
      <c r="E110" s="279">
        <f t="shared" si="6"/>
        <v>7.0762536000000003</v>
      </c>
      <c r="F110" s="279">
        <f t="shared" si="5"/>
        <v>186.75781472684085</v>
      </c>
      <c r="G110" s="279">
        <v>2.0373000000000001</v>
      </c>
      <c r="H110" s="279">
        <f t="shared" si="7"/>
        <v>4004.5698498000006</v>
      </c>
      <c r="I110" s="452"/>
      <c r="J110" s="280" t="s">
        <v>53</v>
      </c>
    </row>
    <row r="111" spans="1:10" ht="13" hidden="1">
      <c r="A111" s="479"/>
      <c r="B111" s="451"/>
      <c r="C111" s="304" t="s">
        <v>57</v>
      </c>
      <c r="D111" s="304"/>
      <c r="E111" s="279">
        <f t="shared" si="6"/>
        <v>0</v>
      </c>
      <c r="F111" s="279">
        <f t="shared" si="5"/>
        <v>0</v>
      </c>
      <c r="G111" s="279">
        <v>2.0373000000000001</v>
      </c>
      <c r="H111" s="279">
        <f t="shared" si="7"/>
        <v>0</v>
      </c>
      <c r="I111" s="452"/>
      <c r="J111" s="280" t="s">
        <v>394</v>
      </c>
    </row>
    <row r="112" spans="1:10" ht="13" hidden="1">
      <c r="A112" s="479"/>
      <c r="B112" s="451"/>
      <c r="C112" s="304" t="s">
        <v>551</v>
      </c>
      <c r="D112" s="304">
        <v>1096.6124000000002</v>
      </c>
      <c r="E112" s="279">
        <f t="shared" si="6"/>
        <v>3.9478046400000006</v>
      </c>
      <c r="F112" s="279">
        <f t="shared" si="5"/>
        <v>104.19120190023754</v>
      </c>
      <c r="G112" s="279">
        <v>2.0373000000000001</v>
      </c>
      <c r="H112" s="279">
        <f t="shared" si="7"/>
        <v>2234.1284425200006</v>
      </c>
      <c r="I112" s="452"/>
      <c r="J112" s="280" t="s">
        <v>53</v>
      </c>
    </row>
    <row r="113" spans="1:10" ht="13" hidden="1">
      <c r="A113" s="479"/>
      <c r="B113" s="451"/>
      <c r="C113" s="304" t="s">
        <v>58</v>
      </c>
      <c r="D113" s="304">
        <v>1862.1719999999998</v>
      </c>
      <c r="E113" s="279">
        <f t="shared" si="6"/>
        <v>6.703819199999999</v>
      </c>
      <c r="F113" s="279">
        <f t="shared" si="5"/>
        <v>176.92845605700708</v>
      </c>
      <c r="G113" s="279">
        <v>2.0373000000000001</v>
      </c>
      <c r="H113" s="279">
        <f t="shared" si="7"/>
        <v>3793.8030156</v>
      </c>
      <c r="I113" s="452"/>
      <c r="J113" s="280" t="s">
        <v>53</v>
      </c>
    </row>
    <row r="114" spans="1:10" ht="13" hidden="1">
      <c r="A114" s="479"/>
      <c r="B114" s="451"/>
      <c r="C114" s="304" t="s">
        <v>58</v>
      </c>
      <c r="D114" s="304">
        <v>1882.8628000000001</v>
      </c>
      <c r="E114" s="279">
        <f t="shared" si="6"/>
        <v>6.7783060800000001</v>
      </c>
      <c r="F114" s="279">
        <f t="shared" si="5"/>
        <v>178.89432779097388</v>
      </c>
      <c r="G114" s="279">
        <v>2.0373000000000001</v>
      </c>
      <c r="H114" s="279">
        <f t="shared" si="7"/>
        <v>3835.9563824400007</v>
      </c>
      <c r="I114" s="452"/>
      <c r="J114" s="280" t="s">
        <v>53</v>
      </c>
    </row>
    <row r="115" spans="1:10" ht="13" hidden="1">
      <c r="A115" s="479"/>
      <c r="B115" s="451"/>
      <c r="C115" s="304" t="s">
        <v>551</v>
      </c>
      <c r="D115" s="304">
        <v>2006.1079999999999</v>
      </c>
      <c r="E115" s="279">
        <f t="shared" si="6"/>
        <v>7.2219887999999992</v>
      </c>
      <c r="F115" s="279">
        <f t="shared" si="5"/>
        <v>190.6040855106888</v>
      </c>
      <c r="G115" s="279">
        <v>2.0373000000000001</v>
      </c>
      <c r="H115" s="279">
        <f t="shared" si="7"/>
        <v>4087.0438284000002</v>
      </c>
      <c r="I115" s="452"/>
      <c r="J115" s="280" t="s">
        <v>53</v>
      </c>
    </row>
    <row r="116" spans="1:10" ht="13" hidden="1">
      <c r="A116" s="479"/>
      <c r="B116" s="451"/>
      <c r="C116" s="304" t="s">
        <v>59</v>
      </c>
      <c r="D116" s="304">
        <v>1572.5008</v>
      </c>
      <c r="E116" s="279">
        <f t="shared" si="6"/>
        <v>5.6610028799999998</v>
      </c>
      <c r="F116" s="279">
        <f t="shared" si="5"/>
        <v>149.40625178147266</v>
      </c>
      <c r="G116" s="279">
        <v>2.0373000000000001</v>
      </c>
      <c r="H116" s="279">
        <f t="shared" si="7"/>
        <v>3203.6558798400001</v>
      </c>
      <c r="I116" s="452"/>
      <c r="J116" s="280" t="s">
        <v>53</v>
      </c>
    </row>
    <row r="117" spans="1:10" ht="13" hidden="1">
      <c r="A117" s="479"/>
      <c r="B117" s="451"/>
      <c r="C117" s="304" t="s">
        <v>60</v>
      </c>
      <c r="D117" s="304">
        <v>461.40484000000004</v>
      </c>
      <c r="E117" s="279">
        <f t="shared" si="6"/>
        <v>1.661057424</v>
      </c>
      <c r="F117" s="279">
        <f t="shared" si="5"/>
        <v>43.838939667458433</v>
      </c>
      <c r="G117" s="279">
        <v>2.0373000000000001</v>
      </c>
      <c r="H117" s="279">
        <f t="shared" si="7"/>
        <v>940.02008053200018</v>
      </c>
      <c r="I117" s="452"/>
      <c r="J117" s="280" t="s">
        <v>53</v>
      </c>
    </row>
    <row r="118" spans="1:10" ht="13" hidden="1">
      <c r="A118" s="479"/>
      <c r="B118" s="451"/>
      <c r="C118" s="304" t="s">
        <v>61</v>
      </c>
      <c r="D118" s="304">
        <v>1489.7375999999999</v>
      </c>
      <c r="E118" s="279">
        <f t="shared" si="6"/>
        <v>5.3630553599999997</v>
      </c>
      <c r="F118" s="279">
        <f t="shared" si="5"/>
        <v>141.54276484560569</v>
      </c>
      <c r="G118" s="279">
        <v>2.0373000000000001</v>
      </c>
      <c r="H118" s="279">
        <f t="shared" si="7"/>
        <v>3035.0424124800002</v>
      </c>
      <c r="I118" s="452"/>
      <c r="J118" s="280" t="s">
        <v>53</v>
      </c>
    </row>
    <row r="119" spans="1:10" ht="13" hidden="1">
      <c r="A119" s="479"/>
      <c r="B119" s="451"/>
      <c r="C119" s="304" t="s">
        <v>62</v>
      </c>
      <c r="D119" s="304">
        <v>2255.2972</v>
      </c>
      <c r="E119" s="279">
        <f t="shared" si="6"/>
        <v>8.1190699199999994</v>
      </c>
      <c r="F119" s="279">
        <f t="shared" si="5"/>
        <v>214.28001900237527</v>
      </c>
      <c r="G119" s="279">
        <v>2.0373000000000001</v>
      </c>
      <c r="H119" s="279">
        <f t="shared" si="7"/>
        <v>4594.7169855600005</v>
      </c>
      <c r="I119" s="452"/>
      <c r="J119" s="280" t="s">
        <v>53</v>
      </c>
    </row>
    <row r="120" spans="1:10" ht="13" hidden="1">
      <c r="A120" s="479"/>
      <c r="B120" s="451"/>
      <c r="C120" s="304" t="s">
        <v>63</v>
      </c>
      <c r="D120" s="304">
        <v>4965.7919999999995</v>
      </c>
      <c r="E120" s="279">
        <f t="shared" si="6"/>
        <v>17.876851199999997</v>
      </c>
      <c r="F120" s="279">
        <f t="shared" si="5"/>
        <v>471.80921615201891</v>
      </c>
      <c r="G120" s="279">
        <v>2.0373000000000001</v>
      </c>
      <c r="H120" s="279">
        <f t="shared" si="7"/>
        <v>10116.808041599999</v>
      </c>
      <c r="I120" s="452"/>
      <c r="J120" s="280" t="s">
        <v>53</v>
      </c>
    </row>
    <row r="121" spans="1:10" ht="13" hidden="1">
      <c r="A121" s="479"/>
      <c r="B121" s="451"/>
      <c r="C121" s="304" t="s">
        <v>64</v>
      </c>
      <c r="D121" s="304">
        <v>2876.0212000000001</v>
      </c>
      <c r="E121" s="279">
        <f t="shared" si="6"/>
        <v>10.35367632</v>
      </c>
      <c r="F121" s="279">
        <f t="shared" si="5"/>
        <v>273.25617102137767</v>
      </c>
      <c r="G121" s="279">
        <v>2.0373000000000001</v>
      </c>
      <c r="H121" s="279">
        <f t="shared" si="7"/>
        <v>5859.3179907600006</v>
      </c>
      <c r="I121" s="452"/>
      <c r="J121" s="280" t="s">
        <v>53</v>
      </c>
    </row>
    <row r="122" spans="1:10" ht="13" hidden="1">
      <c r="A122" s="479"/>
      <c r="B122" s="451"/>
      <c r="C122" s="304" t="s">
        <v>549</v>
      </c>
      <c r="D122" s="304"/>
      <c r="E122" s="279">
        <f t="shared" si="6"/>
        <v>0</v>
      </c>
      <c r="F122" s="279">
        <f t="shared" si="5"/>
        <v>0</v>
      </c>
      <c r="G122" s="279">
        <v>2.0373000000000001</v>
      </c>
      <c r="H122" s="279">
        <f t="shared" si="7"/>
        <v>0</v>
      </c>
      <c r="I122" s="452"/>
      <c r="J122" s="280" t="s">
        <v>66</v>
      </c>
    </row>
    <row r="123" spans="1:10" ht="13" hidden="1">
      <c r="A123" s="479"/>
      <c r="B123" s="451"/>
      <c r="C123" s="304" t="s">
        <v>67</v>
      </c>
      <c r="D123" s="304">
        <v>1862.1719999999998</v>
      </c>
      <c r="E123" s="279">
        <f t="shared" si="6"/>
        <v>6.703819199999999</v>
      </c>
      <c r="F123" s="279">
        <f t="shared" si="5"/>
        <v>176.92845605700708</v>
      </c>
      <c r="G123" s="279">
        <v>2.0373000000000001</v>
      </c>
      <c r="H123" s="279">
        <f t="shared" si="7"/>
        <v>3793.8030156</v>
      </c>
      <c r="I123" s="452"/>
      <c r="J123" s="280" t="s">
        <v>53</v>
      </c>
    </row>
    <row r="124" spans="1:10" ht="13" hidden="1">
      <c r="A124" s="479"/>
      <c r="B124" s="451"/>
      <c r="C124" s="304" t="s">
        <v>67</v>
      </c>
      <c r="D124" s="304">
        <v>1862.1719999999998</v>
      </c>
      <c r="E124" s="279">
        <f t="shared" si="6"/>
        <v>6.703819199999999</v>
      </c>
      <c r="F124" s="279">
        <f t="shared" si="5"/>
        <v>176.92845605700708</v>
      </c>
      <c r="G124" s="279">
        <v>2.0373000000000001</v>
      </c>
      <c r="H124" s="279">
        <f t="shared" si="7"/>
        <v>3793.8030156</v>
      </c>
      <c r="I124" s="452"/>
      <c r="J124" s="280" t="s">
        <v>53</v>
      </c>
    </row>
    <row r="125" spans="1:10" ht="13" hidden="1">
      <c r="A125" s="479"/>
      <c r="B125" s="451"/>
      <c r="C125" s="304" t="s">
        <v>65</v>
      </c>
      <c r="D125" s="304">
        <v>3670.3679999999999</v>
      </c>
      <c r="E125" s="279">
        <f t="shared" si="6"/>
        <v>13.213324799999999</v>
      </c>
      <c r="F125" s="279">
        <f t="shared" si="5"/>
        <v>348.72855106888358</v>
      </c>
      <c r="G125" s="279">
        <v>2.0373000000000001</v>
      </c>
      <c r="H125" s="279">
        <f t="shared" si="7"/>
        <v>7477.6407263999999</v>
      </c>
      <c r="I125" s="452"/>
      <c r="J125" s="280" t="s">
        <v>53</v>
      </c>
    </row>
    <row r="126" spans="1:10" ht="13" hidden="1">
      <c r="A126" s="479"/>
      <c r="B126" s="451"/>
      <c r="C126" s="304" t="s">
        <v>144</v>
      </c>
      <c r="D126" s="304">
        <v>1862.1719999999998</v>
      </c>
      <c r="E126" s="279">
        <f t="shared" si="6"/>
        <v>6.703819199999999</v>
      </c>
      <c r="F126" s="279">
        <f t="shared" si="5"/>
        <v>176.92845605700708</v>
      </c>
      <c r="G126" s="279">
        <v>2.0373000000000001</v>
      </c>
      <c r="H126" s="279">
        <f t="shared" si="7"/>
        <v>3793.8030156</v>
      </c>
      <c r="I126" s="452"/>
      <c r="J126" s="280" t="s">
        <v>137</v>
      </c>
    </row>
    <row r="127" spans="1:10" ht="13" hidden="1">
      <c r="A127" s="479"/>
      <c r="B127" s="451"/>
      <c r="C127" s="304" t="s">
        <v>145</v>
      </c>
      <c r="D127" s="304">
        <v>11065.08</v>
      </c>
      <c r="E127" s="279">
        <f t="shared" si="6"/>
        <v>39.834288000000001</v>
      </c>
      <c r="F127" s="279">
        <f t="shared" si="5"/>
        <v>1051.3140142517814</v>
      </c>
      <c r="G127" s="279">
        <v>2.0373000000000001</v>
      </c>
      <c r="H127" s="279">
        <f t="shared" si="7"/>
        <v>22542.887484000003</v>
      </c>
      <c r="I127" s="452"/>
      <c r="J127" s="280" t="s">
        <v>137</v>
      </c>
    </row>
    <row r="128" spans="1:10" ht="13" hidden="1">
      <c r="A128" s="479"/>
      <c r="B128" s="451"/>
      <c r="C128" s="304" t="s">
        <v>148</v>
      </c>
      <c r="D128" s="304">
        <v>18891.600000000002</v>
      </c>
      <c r="E128" s="279">
        <f t="shared" si="6"/>
        <v>68.00976</v>
      </c>
      <c r="F128" s="279">
        <f t="shared" si="5"/>
        <v>1794.9263657957245</v>
      </c>
      <c r="G128" s="279">
        <v>2.0373000000000001</v>
      </c>
      <c r="H128" s="279">
        <f t="shared" si="7"/>
        <v>38487.856680000004</v>
      </c>
      <c r="I128" s="452"/>
      <c r="J128" s="280" t="s">
        <v>137</v>
      </c>
    </row>
    <row r="129" spans="1:10" ht="13" hidden="1">
      <c r="A129" s="479"/>
      <c r="B129" s="451"/>
      <c r="C129" s="304" t="s">
        <v>149</v>
      </c>
      <c r="D129" s="304">
        <v>1799.2</v>
      </c>
      <c r="E129" s="279">
        <f t="shared" si="6"/>
        <v>6.4771200000000002</v>
      </c>
      <c r="F129" s="279">
        <f t="shared" si="5"/>
        <v>170.94536817102139</v>
      </c>
      <c r="G129" s="279">
        <v>2.0373000000000001</v>
      </c>
      <c r="H129" s="279">
        <f t="shared" si="7"/>
        <v>3665.5101600000003</v>
      </c>
      <c r="I129" s="452"/>
      <c r="J129" s="280" t="s">
        <v>137</v>
      </c>
    </row>
    <row r="130" spans="1:10" ht="13" hidden="1">
      <c r="A130" s="479"/>
      <c r="B130" s="451"/>
      <c r="C130" s="304" t="s">
        <v>150</v>
      </c>
      <c r="D130" s="304">
        <v>1799.2</v>
      </c>
      <c r="E130" s="279">
        <f t="shared" si="6"/>
        <v>6.4771200000000002</v>
      </c>
      <c r="F130" s="279">
        <f t="shared" si="5"/>
        <v>170.94536817102139</v>
      </c>
      <c r="G130" s="279">
        <v>2.0373000000000001</v>
      </c>
      <c r="H130" s="279">
        <f t="shared" si="7"/>
        <v>3665.5101600000003</v>
      </c>
      <c r="I130" s="452"/>
      <c r="J130" s="280" t="s">
        <v>137</v>
      </c>
    </row>
    <row r="131" spans="1:10" ht="13" hidden="1">
      <c r="A131" s="479"/>
      <c r="B131" s="451"/>
      <c r="C131" s="304" t="s">
        <v>151</v>
      </c>
      <c r="D131" s="304">
        <v>989.56000000000006</v>
      </c>
      <c r="E131" s="279">
        <f t="shared" si="6"/>
        <v>3.5624160000000002</v>
      </c>
      <c r="F131" s="279">
        <f t="shared" si="5"/>
        <v>94.019952494061755</v>
      </c>
      <c r="G131" s="279">
        <v>2.0373000000000001</v>
      </c>
      <c r="H131" s="279">
        <f t="shared" si="7"/>
        <v>2016.0305880000003</v>
      </c>
      <c r="I131" s="452"/>
      <c r="J131" s="280" t="s">
        <v>68</v>
      </c>
    </row>
    <row r="132" spans="1:10" ht="13" hidden="1">
      <c r="A132" s="479"/>
      <c r="B132" s="451"/>
      <c r="C132" s="304" t="s">
        <v>152</v>
      </c>
      <c r="D132" s="304">
        <v>2518.88</v>
      </c>
      <c r="E132" s="279">
        <f t="shared" si="6"/>
        <v>9.0679680000000005</v>
      </c>
      <c r="F132" s="279">
        <f t="shared" si="5"/>
        <v>239.32351543942994</v>
      </c>
      <c r="G132" s="279">
        <v>2.0373000000000001</v>
      </c>
      <c r="H132" s="279">
        <f t="shared" si="7"/>
        <v>5131.7142240000003</v>
      </c>
      <c r="I132" s="452"/>
      <c r="J132" s="280" t="s">
        <v>68</v>
      </c>
    </row>
    <row r="133" spans="1:10" ht="13" hidden="1">
      <c r="A133" s="479"/>
      <c r="B133" s="451"/>
      <c r="C133" s="304" t="s">
        <v>153</v>
      </c>
      <c r="D133" s="304">
        <v>1295.424</v>
      </c>
      <c r="E133" s="279">
        <f t="shared" si="6"/>
        <v>4.6635263999999994</v>
      </c>
      <c r="F133" s="279">
        <f t="shared" si="5"/>
        <v>123.08066508313537</v>
      </c>
      <c r="G133" s="279">
        <v>2.0373000000000001</v>
      </c>
      <c r="H133" s="279">
        <f t="shared" si="7"/>
        <v>2639.1673152000003</v>
      </c>
      <c r="I133" s="452"/>
      <c r="J133" s="280" t="s">
        <v>68</v>
      </c>
    </row>
    <row r="134" spans="1:10" ht="13" hidden="1">
      <c r="A134" s="479"/>
      <c r="B134" s="451"/>
      <c r="C134" s="304" t="s">
        <v>201</v>
      </c>
      <c r="D134" s="304">
        <v>18297.864000000001</v>
      </c>
      <c r="E134" s="279">
        <f t="shared" si="6"/>
        <v>65.872310400000003</v>
      </c>
      <c r="F134" s="279">
        <f t="shared" si="5"/>
        <v>1738.5143942992875</v>
      </c>
      <c r="G134" s="279">
        <v>2.0373000000000001</v>
      </c>
      <c r="H134" s="279">
        <f t="shared" si="7"/>
        <v>37278.238327200008</v>
      </c>
      <c r="I134" s="452"/>
      <c r="J134" s="280" t="s">
        <v>68</v>
      </c>
    </row>
    <row r="135" spans="1:10" ht="13" hidden="1">
      <c r="A135" s="479"/>
      <c r="B135" s="451"/>
      <c r="C135" s="304" t="s">
        <v>484</v>
      </c>
      <c r="D135" s="304">
        <v>27284.867999999999</v>
      </c>
      <c r="E135" s="279">
        <f t="shared" si="6"/>
        <v>98.225524799999988</v>
      </c>
      <c r="F135" s="279">
        <f t="shared" si="5"/>
        <v>2592.3865083135388</v>
      </c>
      <c r="G135" s="279">
        <v>2.0373000000000001</v>
      </c>
      <c r="H135" s="279">
        <f t="shared" si="7"/>
        <v>55587.461576399997</v>
      </c>
      <c r="I135" s="452"/>
      <c r="J135" s="280" t="s">
        <v>68</v>
      </c>
    </row>
    <row r="136" spans="1:10" ht="13" hidden="1">
      <c r="A136" s="479"/>
      <c r="B136" s="451"/>
      <c r="C136" s="304" t="s">
        <v>322</v>
      </c>
      <c r="D136" s="304">
        <v>6639.0479999999998</v>
      </c>
      <c r="E136" s="279">
        <f t="shared" si="6"/>
        <v>23.900572799999999</v>
      </c>
      <c r="F136" s="279">
        <f t="shared" si="5"/>
        <v>630.78840855106887</v>
      </c>
      <c r="G136" s="279">
        <v>2.0373000000000001</v>
      </c>
      <c r="H136" s="279">
        <f t="shared" si="7"/>
        <v>13525.7324904</v>
      </c>
      <c r="I136" s="452"/>
      <c r="J136" s="280" t="s">
        <v>68</v>
      </c>
    </row>
    <row r="137" spans="1:10" ht="13" hidden="1">
      <c r="A137" s="479"/>
      <c r="B137" s="451"/>
      <c r="C137" s="304" t="s">
        <v>323</v>
      </c>
      <c r="D137" s="304">
        <v>3400.4879999999998</v>
      </c>
      <c r="E137" s="279">
        <f t="shared" si="6"/>
        <v>12.241756799999999</v>
      </c>
      <c r="F137" s="279">
        <f t="shared" si="5"/>
        <v>323.08674584323035</v>
      </c>
      <c r="G137" s="279">
        <v>2.0373000000000001</v>
      </c>
      <c r="H137" s="279">
        <f t="shared" si="7"/>
        <v>6927.8142023999999</v>
      </c>
      <c r="I137" s="452"/>
      <c r="J137" s="280" t="s">
        <v>68</v>
      </c>
    </row>
    <row r="138" spans="1:10" ht="13" hidden="1">
      <c r="A138" s="479"/>
      <c r="B138" s="451"/>
      <c r="C138" s="304" t="s">
        <v>324</v>
      </c>
      <c r="D138" s="304">
        <v>3400.4879999999998</v>
      </c>
      <c r="E138" s="279">
        <f t="shared" si="6"/>
        <v>12.241756799999999</v>
      </c>
      <c r="F138" s="279">
        <f t="shared" si="5"/>
        <v>323.08674584323035</v>
      </c>
      <c r="G138" s="279">
        <v>2.0373000000000001</v>
      </c>
      <c r="H138" s="279">
        <f t="shared" si="7"/>
        <v>6927.8142023999999</v>
      </c>
      <c r="I138" s="452"/>
      <c r="J138" s="280" t="s">
        <v>68</v>
      </c>
    </row>
    <row r="139" spans="1:10" ht="13" hidden="1">
      <c r="A139" s="479"/>
      <c r="B139" s="451"/>
      <c r="C139" s="304" t="s">
        <v>325</v>
      </c>
      <c r="D139" s="304">
        <v>3400.4879999999998</v>
      </c>
      <c r="E139" s="279">
        <f t="shared" si="6"/>
        <v>12.241756799999999</v>
      </c>
      <c r="F139" s="279">
        <f t="shared" si="5"/>
        <v>323.08674584323035</v>
      </c>
      <c r="G139" s="279">
        <v>2.0373000000000001</v>
      </c>
      <c r="H139" s="279">
        <f t="shared" si="7"/>
        <v>6927.8142023999999</v>
      </c>
      <c r="I139" s="452"/>
      <c r="J139" s="280" t="s">
        <v>68</v>
      </c>
    </row>
    <row r="140" spans="1:10" ht="13" hidden="1">
      <c r="A140" s="479"/>
      <c r="B140" s="451"/>
      <c r="C140" s="304" t="s">
        <v>550</v>
      </c>
      <c r="D140" s="304">
        <v>0</v>
      </c>
      <c r="E140" s="279">
        <f t="shared" si="6"/>
        <v>0</v>
      </c>
      <c r="F140" s="279">
        <f t="shared" si="5"/>
        <v>0</v>
      </c>
      <c r="G140" s="279">
        <v>2.0373000000000001</v>
      </c>
      <c r="H140" s="279">
        <f t="shared" si="7"/>
        <v>0</v>
      </c>
      <c r="I140" s="452"/>
      <c r="J140" s="280" t="s">
        <v>68</v>
      </c>
    </row>
    <row r="141" spans="1:10" ht="13" hidden="1">
      <c r="A141" s="479"/>
      <c r="B141" s="451"/>
      <c r="C141" s="304" t="s">
        <v>69</v>
      </c>
      <c r="D141" s="120">
        <v>1295.424</v>
      </c>
      <c r="E141" s="279">
        <f t="shared" si="6"/>
        <v>4.6635263999999994</v>
      </c>
      <c r="F141" s="279">
        <f t="shared" si="5"/>
        <v>123.08066508313537</v>
      </c>
      <c r="G141" s="279">
        <v>2.0373000000000001</v>
      </c>
      <c r="H141" s="279">
        <f t="shared" si="7"/>
        <v>2639.1673152000003</v>
      </c>
      <c r="I141" s="452"/>
      <c r="J141" s="280" t="s">
        <v>68</v>
      </c>
    </row>
    <row r="142" spans="1:10" ht="13" hidden="1">
      <c r="A142" s="479"/>
      <c r="B142" s="451"/>
      <c r="C142" s="304" t="s">
        <v>69</v>
      </c>
      <c r="D142" s="120">
        <v>1295.424</v>
      </c>
      <c r="E142" s="279">
        <f t="shared" si="6"/>
        <v>4.6635263999999994</v>
      </c>
      <c r="F142" s="279">
        <f t="shared" si="5"/>
        <v>123.08066508313537</v>
      </c>
      <c r="G142" s="279">
        <v>2.0373000000000001</v>
      </c>
      <c r="H142" s="279">
        <f t="shared" si="7"/>
        <v>2639.1673152000003</v>
      </c>
      <c r="I142" s="452"/>
      <c r="J142" s="280" t="s">
        <v>68</v>
      </c>
    </row>
    <row r="143" spans="1:10" ht="13" hidden="1">
      <c r="A143" s="479"/>
      <c r="B143" s="451"/>
      <c r="C143" s="304" t="s">
        <v>69</v>
      </c>
      <c r="D143" s="120">
        <v>1295.424</v>
      </c>
      <c r="E143" s="279">
        <f t="shared" si="6"/>
        <v>4.6635263999999994</v>
      </c>
      <c r="F143" s="279">
        <f t="shared" si="5"/>
        <v>123.08066508313537</v>
      </c>
      <c r="G143" s="279">
        <v>2.0373000000000001</v>
      </c>
      <c r="H143" s="279">
        <f t="shared" si="7"/>
        <v>2639.1673152000003</v>
      </c>
      <c r="I143" s="452"/>
      <c r="J143" s="280" t="s">
        <v>68</v>
      </c>
    </row>
    <row r="144" spans="1:10" ht="13" hidden="1">
      <c r="A144" s="479"/>
      <c r="B144" s="451"/>
      <c r="C144" s="304" t="s">
        <v>69</v>
      </c>
      <c r="D144" s="120">
        <v>1295.424</v>
      </c>
      <c r="E144" s="279">
        <f t="shared" si="6"/>
        <v>4.6635263999999994</v>
      </c>
      <c r="F144" s="279">
        <f t="shared" si="5"/>
        <v>123.08066508313537</v>
      </c>
      <c r="G144" s="279">
        <v>2.0373000000000001</v>
      </c>
      <c r="H144" s="279">
        <f t="shared" si="7"/>
        <v>2639.1673152000003</v>
      </c>
      <c r="I144" s="452"/>
      <c r="J144" s="280" t="s">
        <v>68</v>
      </c>
    </row>
    <row r="145" spans="1:12" ht="13" hidden="1">
      <c r="A145" s="479"/>
      <c r="B145" s="451"/>
      <c r="C145" s="304" t="s">
        <v>326</v>
      </c>
      <c r="D145" s="304">
        <v>2590.848</v>
      </c>
      <c r="E145" s="279">
        <f t="shared" si="6"/>
        <v>9.3270527999999988</v>
      </c>
      <c r="F145" s="279">
        <f t="shared" si="5"/>
        <v>246.16133016627074</v>
      </c>
      <c r="G145" s="279">
        <v>2.0373000000000001</v>
      </c>
      <c r="H145" s="279">
        <f t="shared" si="7"/>
        <v>5278.3346304000006</v>
      </c>
      <c r="I145" s="452"/>
      <c r="J145" s="280" t="s">
        <v>68</v>
      </c>
    </row>
    <row r="146" spans="1:12" ht="13" hidden="1">
      <c r="A146" s="479"/>
      <c r="B146" s="451"/>
      <c r="C146" s="304" t="s">
        <v>326</v>
      </c>
      <c r="D146" s="304">
        <v>2590.848</v>
      </c>
      <c r="E146" s="279">
        <f t="shared" si="6"/>
        <v>9.3270527999999988</v>
      </c>
      <c r="F146" s="279">
        <f t="shared" si="5"/>
        <v>246.16133016627074</v>
      </c>
      <c r="G146" s="279">
        <v>2.0373000000000001</v>
      </c>
      <c r="H146" s="279">
        <f t="shared" si="7"/>
        <v>5278.3346304000006</v>
      </c>
      <c r="I146" s="452"/>
      <c r="J146" s="280" t="s">
        <v>68</v>
      </c>
    </row>
    <row r="147" spans="1:12" ht="13" hidden="1">
      <c r="A147" s="479"/>
      <c r="B147" s="451"/>
      <c r="C147" s="304" t="s">
        <v>326</v>
      </c>
      <c r="D147" s="304">
        <v>2590.848</v>
      </c>
      <c r="E147" s="279">
        <f t="shared" si="6"/>
        <v>9.3270527999999988</v>
      </c>
      <c r="F147" s="279">
        <f t="shared" si="5"/>
        <v>246.16133016627074</v>
      </c>
      <c r="G147" s="279">
        <v>2.0373000000000001</v>
      </c>
      <c r="H147" s="279">
        <f t="shared" si="7"/>
        <v>5278.3346304000006</v>
      </c>
      <c r="I147" s="452"/>
      <c r="J147" s="280" t="s">
        <v>68</v>
      </c>
    </row>
    <row r="148" spans="1:12" ht="13" hidden="1">
      <c r="A148" s="479"/>
      <c r="B148" s="451"/>
      <c r="C148" s="304" t="s">
        <v>326</v>
      </c>
      <c r="D148" s="304">
        <v>2590.848</v>
      </c>
      <c r="E148" s="279">
        <f t="shared" si="6"/>
        <v>9.3270527999999988</v>
      </c>
      <c r="F148" s="279">
        <f t="shared" si="5"/>
        <v>246.16133016627074</v>
      </c>
      <c r="G148" s="279">
        <v>2.0373000000000001</v>
      </c>
      <c r="H148" s="279">
        <f t="shared" si="7"/>
        <v>5278.3346304000006</v>
      </c>
      <c r="I148" s="452"/>
      <c r="J148" s="280" t="s">
        <v>68</v>
      </c>
    </row>
    <row r="149" spans="1:12" ht="13" hidden="1">
      <c r="A149" s="479"/>
      <c r="B149" s="451"/>
      <c r="C149" s="304" t="s">
        <v>326</v>
      </c>
      <c r="D149" s="304">
        <v>2590.848</v>
      </c>
      <c r="E149" s="279">
        <f t="shared" si="6"/>
        <v>9.3270527999999988</v>
      </c>
      <c r="F149" s="279">
        <f t="shared" si="5"/>
        <v>246.16133016627074</v>
      </c>
      <c r="G149" s="279">
        <v>2.0373000000000001</v>
      </c>
      <c r="H149" s="279">
        <f t="shared" si="7"/>
        <v>5278.3346304000006</v>
      </c>
      <c r="I149" s="452"/>
      <c r="J149" s="280" t="s">
        <v>68</v>
      </c>
    </row>
    <row r="150" spans="1:12" ht="13" hidden="1">
      <c r="A150" s="479"/>
      <c r="B150" s="451"/>
      <c r="C150" s="304" t="s">
        <v>70</v>
      </c>
      <c r="D150" s="304">
        <v>1024.1946</v>
      </c>
      <c r="E150" s="279">
        <f t="shared" si="6"/>
        <v>3.6871005600000002</v>
      </c>
      <c r="F150" s="279">
        <f t="shared" si="5"/>
        <v>97.310650831353925</v>
      </c>
      <c r="G150" s="279">
        <v>2.0373000000000001</v>
      </c>
      <c r="H150" s="279">
        <f t="shared" si="7"/>
        <v>2086.5916585800001</v>
      </c>
      <c r="I150" s="452"/>
      <c r="J150" s="280" t="s">
        <v>68</v>
      </c>
      <c r="K150" s="291">
        <f>SUM(I106+I153+I165)</f>
        <v>103449000.43050984</v>
      </c>
    </row>
    <row r="151" spans="1:12" ht="13" hidden="1">
      <c r="A151" s="479"/>
      <c r="B151" s="451"/>
      <c r="C151" s="304" t="s">
        <v>70</v>
      </c>
      <c r="D151" s="304">
        <v>775.90500000000009</v>
      </c>
      <c r="E151" s="279">
        <f t="shared" si="6"/>
        <v>2.7932580000000002</v>
      </c>
      <c r="F151" s="279">
        <f t="shared" si="5"/>
        <v>73.720190023752977</v>
      </c>
      <c r="G151" s="279">
        <v>2.0373000000000001</v>
      </c>
      <c r="H151" s="279">
        <f t="shared" si="7"/>
        <v>1580.7512565000002</v>
      </c>
      <c r="I151" s="452"/>
      <c r="J151" s="280" t="s">
        <v>68</v>
      </c>
      <c r="K151" s="105">
        <f>K150*0.000001</f>
        <v>103.44900043050983</v>
      </c>
      <c r="L151" s="105">
        <f>SUM(K151+E187)</f>
        <v>103.44900043050983</v>
      </c>
    </row>
    <row r="152" spans="1:12" ht="13" hidden="1">
      <c r="A152" s="479"/>
      <c r="B152" s="451"/>
      <c r="C152" s="304" t="s">
        <v>71</v>
      </c>
      <c r="D152" s="120">
        <v>643.21399999999994</v>
      </c>
      <c r="E152" s="279">
        <f t="shared" si="6"/>
        <v>2.3155703999999999</v>
      </c>
      <c r="F152" s="279">
        <f t="shared" si="5"/>
        <v>61.112969121140139</v>
      </c>
      <c r="G152" s="279">
        <v>2.0373000000000001</v>
      </c>
      <c r="H152" s="279">
        <f t="shared" si="7"/>
        <v>1310.4198821999998</v>
      </c>
      <c r="I152" s="452"/>
      <c r="J152" s="280" t="s">
        <v>68</v>
      </c>
    </row>
    <row r="153" spans="1:12" ht="13" hidden="1">
      <c r="A153" s="479"/>
      <c r="B153" s="449" t="s">
        <v>72</v>
      </c>
      <c r="C153" s="300" t="s">
        <v>146</v>
      </c>
      <c r="D153" s="300">
        <v>38233.000000000007</v>
      </c>
      <c r="E153" s="283">
        <f t="shared" si="6"/>
        <v>137.63880000000003</v>
      </c>
      <c r="F153" s="283">
        <f t="shared" si="5"/>
        <v>3632.5890736342049</v>
      </c>
      <c r="G153" s="283">
        <v>1889.36</v>
      </c>
      <c r="H153" s="283">
        <f>G153*F153</f>
        <v>6863268.4921615208</v>
      </c>
      <c r="I153" s="449">
        <f>SUM(H153:H164)</f>
        <v>103078711.75634985</v>
      </c>
      <c r="J153" s="284" t="s">
        <v>73</v>
      </c>
    </row>
    <row r="154" spans="1:12" ht="12" hidden="1" customHeight="1">
      <c r="A154" s="479"/>
      <c r="B154" s="477"/>
      <c r="C154" s="300" t="s">
        <v>147</v>
      </c>
      <c r="D154" s="300">
        <v>50527.53333333334</v>
      </c>
      <c r="E154" s="283">
        <f t="shared" si="6"/>
        <v>181.89912000000001</v>
      </c>
      <c r="F154" s="283">
        <f t="shared" si="5"/>
        <v>4800.7157561361837</v>
      </c>
      <c r="G154" s="283">
        <v>1889.36</v>
      </c>
      <c r="H154" s="283">
        <f t="shared" ref="H154:H162" si="8">G154*F154</f>
        <v>9070280.3210134599</v>
      </c>
      <c r="I154" s="449"/>
      <c r="J154" s="284" t="s">
        <v>73</v>
      </c>
    </row>
    <row r="155" spans="1:12" ht="12" hidden="1" customHeight="1">
      <c r="A155" s="479"/>
      <c r="B155" s="477"/>
      <c r="C155" s="300" t="s">
        <v>154</v>
      </c>
      <c r="D155" s="300">
        <v>19773.208000000002</v>
      </c>
      <c r="E155" s="283">
        <f t="shared" si="6"/>
        <v>71.183548800000011</v>
      </c>
      <c r="F155" s="283">
        <f t="shared" si="5"/>
        <v>1878.6895961995251</v>
      </c>
      <c r="G155" s="283">
        <v>1889.36</v>
      </c>
      <c r="H155" s="283">
        <f t="shared" si="8"/>
        <v>3549520.9754755348</v>
      </c>
      <c r="I155" s="449"/>
      <c r="J155" s="284" t="s">
        <v>25</v>
      </c>
    </row>
    <row r="156" spans="1:12" ht="12" hidden="1" customHeight="1">
      <c r="A156" s="479"/>
      <c r="B156" s="477"/>
      <c r="C156" s="300" t="s">
        <v>273</v>
      </c>
      <c r="D156" s="300">
        <v>50062.74</v>
      </c>
      <c r="E156" s="283">
        <f t="shared" si="6"/>
        <v>180.225864</v>
      </c>
      <c r="F156" s="283">
        <f t="shared" si="5"/>
        <v>4756.5548693586697</v>
      </c>
      <c r="G156" s="283">
        <v>1889.36</v>
      </c>
      <c r="H156" s="283">
        <f t="shared" si="8"/>
        <v>8986844.5079714954</v>
      </c>
      <c r="I156" s="449"/>
      <c r="J156" s="284" t="s">
        <v>25</v>
      </c>
    </row>
    <row r="157" spans="1:12" ht="12" hidden="1" customHeight="1">
      <c r="A157" s="479"/>
      <c r="B157" s="477"/>
      <c r="C157" s="300" t="s">
        <v>274</v>
      </c>
      <c r="D157" s="300">
        <v>100125.48</v>
      </c>
      <c r="E157" s="283">
        <f t="shared" si="6"/>
        <v>360.451728</v>
      </c>
      <c r="F157" s="283">
        <f t="shared" si="5"/>
        <v>9513.1097387173395</v>
      </c>
      <c r="G157" s="283">
        <v>1889.36</v>
      </c>
      <c r="H157" s="283">
        <f t="shared" si="8"/>
        <v>17973689.015942991</v>
      </c>
      <c r="I157" s="449"/>
      <c r="J157" s="284" t="s">
        <v>25</v>
      </c>
    </row>
    <row r="158" spans="1:12" ht="12" hidden="1" customHeight="1">
      <c r="A158" s="479"/>
      <c r="B158" s="477"/>
      <c r="C158" s="300" t="s">
        <v>274</v>
      </c>
      <c r="D158" s="300">
        <v>100125.48</v>
      </c>
      <c r="E158" s="283">
        <f t="shared" si="6"/>
        <v>360.451728</v>
      </c>
      <c r="F158" s="283">
        <f t="shared" si="5"/>
        <v>9513.1097387173395</v>
      </c>
      <c r="G158" s="283">
        <v>1889.36</v>
      </c>
      <c r="H158" s="283">
        <f t="shared" si="8"/>
        <v>17973689.015942991</v>
      </c>
      <c r="I158" s="449"/>
      <c r="J158" s="284" t="s">
        <v>25</v>
      </c>
    </row>
    <row r="159" spans="1:12" ht="12" hidden="1" customHeight="1">
      <c r="A159" s="479"/>
      <c r="B159" s="477"/>
      <c r="C159" s="300" t="s">
        <v>275</v>
      </c>
      <c r="D159" s="300">
        <v>24167.004333333334</v>
      </c>
      <c r="E159" s="283">
        <f t="shared" si="6"/>
        <v>87.001215599999995</v>
      </c>
      <c r="F159" s="283">
        <f t="shared" si="5"/>
        <v>2296.1524307205063</v>
      </c>
      <c r="G159" s="283">
        <v>1889.36</v>
      </c>
      <c r="H159" s="283">
        <f t="shared" si="8"/>
        <v>4338258.5565060955</v>
      </c>
      <c r="I159" s="449"/>
      <c r="J159" s="284" t="s">
        <v>25</v>
      </c>
    </row>
    <row r="160" spans="1:12" ht="12" hidden="1" customHeight="1">
      <c r="A160" s="479"/>
      <c r="B160" s="477"/>
      <c r="C160" s="300" t="s">
        <v>276</v>
      </c>
      <c r="D160" s="300">
        <v>24167.004333333334</v>
      </c>
      <c r="E160" s="283">
        <f t="shared" si="6"/>
        <v>87.001215599999995</v>
      </c>
      <c r="F160" s="283">
        <f t="shared" si="5"/>
        <v>2296.1524307205063</v>
      </c>
      <c r="G160" s="283">
        <v>1889.36</v>
      </c>
      <c r="H160" s="283">
        <f t="shared" si="8"/>
        <v>4338258.5565060955</v>
      </c>
      <c r="I160" s="449"/>
      <c r="J160" s="284" t="s">
        <v>25</v>
      </c>
    </row>
    <row r="161" spans="1:11" ht="12" hidden="1" customHeight="1">
      <c r="A161" s="479"/>
      <c r="B161" s="477"/>
      <c r="C161" s="300" t="s">
        <v>277</v>
      </c>
      <c r="D161" s="300">
        <v>24167.004333333334</v>
      </c>
      <c r="E161" s="283">
        <f t="shared" si="6"/>
        <v>87.001215599999995</v>
      </c>
      <c r="F161" s="283">
        <f t="shared" si="5"/>
        <v>2296.1524307205063</v>
      </c>
      <c r="G161" s="283">
        <v>1889.36</v>
      </c>
      <c r="H161" s="283">
        <f t="shared" si="8"/>
        <v>4338258.5565060955</v>
      </c>
      <c r="I161" s="449"/>
      <c r="J161" s="284" t="s">
        <v>25</v>
      </c>
    </row>
    <row r="162" spans="1:11" ht="12" hidden="1" customHeight="1">
      <c r="A162" s="479"/>
      <c r="B162" s="477"/>
      <c r="C162" s="300" t="s">
        <v>278</v>
      </c>
      <c r="D162" s="300">
        <v>27460.29</v>
      </c>
      <c r="E162" s="283">
        <f t="shared" si="6"/>
        <v>98.857044000000002</v>
      </c>
      <c r="F162" s="283">
        <f t="shared" si="5"/>
        <v>2609.0536817102138</v>
      </c>
      <c r="G162" s="283">
        <v>1889.36</v>
      </c>
      <c r="H162" s="283">
        <f t="shared" si="8"/>
        <v>4929441.6640760098</v>
      </c>
      <c r="I162" s="449"/>
      <c r="J162" s="284" t="s">
        <v>25</v>
      </c>
    </row>
    <row r="163" spans="1:11" ht="12" hidden="1" customHeight="1">
      <c r="A163" s="479"/>
      <c r="B163" s="477"/>
      <c r="C163" s="300" t="s">
        <v>279</v>
      </c>
      <c r="D163" s="316">
        <v>11714.791111111113</v>
      </c>
      <c r="E163" s="283">
        <f>D163*E$22</f>
        <v>42.173248000000008</v>
      </c>
      <c r="F163" s="283">
        <f>E163*E$25</f>
        <v>1113.0442860913172</v>
      </c>
      <c r="G163" s="283">
        <v>1889.36</v>
      </c>
      <c r="H163" s="283">
        <f>G163*F163</f>
        <v>2102941.352369491</v>
      </c>
      <c r="I163" s="449"/>
      <c r="J163" s="284" t="s">
        <v>25</v>
      </c>
    </row>
    <row r="164" spans="1:11" ht="12" hidden="1" customHeight="1">
      <c r="A164" s="479"/>
      <c r="B164" s="477"/>
      <c r="C164" s="300" t="s">
        <v>502</v>
      </c>
      <c r="D164" s="300">
        <v>103693.89333333333</v>
      </c>
      <c r="E164" s="283">
        <f>D164*E$22</f>
        <v>373.29801599999996</v>
      </c>
      <c r="F164" s="283">
        <f>E164*E$25</f>
        <v>9852.1513855898647</v>
      </c>
      <c r="G164" s="283">
        <v>1889.36</v>
      </c>
      <c r="H164" s="283">
        <f>G164*F164</f>
        <v>18614260.741878066</v>
      </c>
      <c r="I164" s="449"/>
      <c r="J164" s="284" t="s">
        <v>25</v>
      </c>
      <c r="K164" s="105">
        <v>424792.2275696682</v>
      </c>
    </row>
    <row r="165" spans="1:11" ht="13" hidden="1">
      <c r="A165" s="479"/>
      <c r="B165" s="373" t="s">
        <v>74</v>
      </c>
      <c r="C165" s="300" t="s">
        <v>461</v>
      </c>
      <c r="D165" s="300">
        <v>36613.720000000008</v>
      </c>
      <c r="E165" s="283">
        <f>D165*E$22</f>
        <v>131.80939200000003</v>
      </c>
      <c r="F165" s="283">
        <f>E165*E$25</f>
        <v>3478.7382422802857</v>
      </c>
      <c r="G165" s="282">
        <v>96.616216216216216</v>
      </c>
      <c r="H165" s="282">
        <f>G165*E165</f>
        <v>12734.924716800004</v>
      </c>
      <c r="I165" s="449">
        <f>SUM(H165:H167)</f>
        <v>43301.525347459465</v>
      </c>
      <c r="J165" s="285" t="s">
        <v>75</v>
      </c>
    </row>
    <row r="166" spans="1:11" ht="13" hidden="1">
      <c r="A166" s="479"/>
      <c r="B166" s="373"/>
      <c r="C166" s="300" t="s">
        <v>467</v>
      </c>
      <c r="D166" s="300">
        <v>43940.462222222224</v>
      </c>
      <c r="E166" s="283">
        <f t="shared" ref="E166:E167" si="9">D166*E$22</f>
        <v>158.185664</v>
      </c>
      <c r="F166" s="283">
        <f t="shared" ref="F166:F167" si="10">E166*E$25</f>
        <v>4174.8657693322775</v>
      </c>
      <c r="G166" s="282">
        <v>96.616216216216216</v>
      </c>
      <c r="H166" s="282">
        <f t="shared" ref="H166:H167" si="11">G166*E166</f>
        <v>15283.30031532973</v>
      </c>
      <c r="I166" s="449"/>
      <c r="J166" s="285" t="s">
        <v>75</v>
      </c>
    </row>
    <row r="167" spans="1:11" ht="13" hidden="1">
      <c r="A167" s="479"/>
      <c r="B167" s="373"/>
      <c r="C167" s="300" t="s">
        <v>467</v>
      </c>
      <c r="D167" s="300">
        <v>43940.462222222224</v>
      </c>
      <c r="E167" s="283">
        <f t="shared" si="9"/>
        <v>158.185664</v>
      </c>
      <c r="F167" s="283">
        <f t="shared" si="10"/>
        <v>4174.8657693322775</v>
      </c>
      <c r="G167" s="282">
        <v>96.616216216216216</v>
      </c>
      <c r="H167" s="282">
        <f t="shared" si="11"/>
        <v>15283.30031532973</v>
      </c>
      <c r="I167" s="449"/>
      <c r="J167" s="285" t="s">
        <v>75</v>
      </c>
    </row>
    <row r="168" spans="1:11" hidden="1">
      <c r="A168" s="454" t="s">
        <v>0</v>
      </c>
      <c r="B168" s="451" t="s">
        <v>1</v>
      </c>
      <c r="C168" s="279" t="s">
        <v>327</v>
      </c>
      <c r="D168" s="279">
        <v>7772.5440000000008</v>
      </c>
      <c r="E168" s="279">
        <f t="shared" ref="E168:E182" si="12">D168*E$22</f>
        <v>27.981158400000002</v>
      </c>
      <c r="F168" s="279">
        <f t="shared" ref="F168:F182" si="13">E168*E$25</f>
        <v>738.48399049881232</v>
      </c>
      <c r="G168" s="279">
        <v>2.0373000000000001</v>
      </c>
      <c r="H168" s="279">
        <f>G168*D168</f>
        <v>15835.003891200002</v>
      </c>
      <c r="I168" s="451">
        <f>SUM(H168:H182)</f>
        <v>193978.79766720001</v>
      </c>
      <c r="J168" s="280" t="s">
        <v>132</v>
      </c>
    </row>
    <row r="169" spans="1:11" hidden="1">
      <c r="A169" s="454"/>
      <c r="B169" s="452"/>
      <c r="C169" s="279" t="s">
        <v>328</v>
      </c>
      <c r="D169" s="279">
        <v>14330.628000000001</v>
      </c>
      <c r="E169" s="279">
        <f t="shared" si="12"/>
        <v>51.590260800000003</v>
      </c>
      <c r="F169" s="279">
        <f t="shared" si="13"/>
        <v>1361.5798574821854</v>
      </c>
      <c r="G169" s="279">
        <v>2.0373000000000001</v>
      </c>
      <c r="H169" s="279">
        <f t="shared" ref="H169:H182" si="14">G169*D169</f>
        <v>29195.788424400002</v>
      </c>
      <c r="I169" s="452"/>
      <c r="J169" s="280" t="s">
        <v>2</v>
      </c>
    </row>
    <row r="170" spans="1:11" hidden="1">
      <c r="A170" s="454"/>
      <c r="B170" s="452"/>
      <c r="C170" s="279" t="s">
        <v>329</v>
      </c>
      <c r="D170" s="279">
        <v>3643.38</v>
      </c>
      <c r="E170" s="279">
        <f t="shared" si="12"/>
        <v>13.116168</v>
      </c>
      <c r="F170" s="279">
        <f t="shared" si="13"/>
        <v>346.16437054631825</v>
      </c>
      <c r="G170" s="279">
        <v>2.0373000000000001</v>
      </c>
      <c r="H170" s="279">
        <f t="shared" si="14"/>
        <v>7422.6580740000009</v>
      </c>
      <c r="I170" s="452"/>
      <c r="J170" s="280" t="s">
        <v>2</v>
      </c>
    </row>
    <row r="171" spans="1:11" hidden="1">
      <c r="A171" s="454"/>
      <c r="B171" s="452"/>
      <c r="C171" s="279" t="s">
        <v>330</v>
      </c>
      <c r="D171" s="279">
        <v>2914.7039999999997</v>
      </c>
      <c r="E171" s="279">
        <f t="shared" si="12"/>
        <v>10.492934399999999</v>
      </c>
      <c r="F171" s="279">
        <f t="shared" si="13"/>
        <v>276.93149643705459</v>
      </c>
      <c r="G171" s="279">
        <v>2.0373000000000001</v>
      </c>
      <c r="H171" s="279">
        <f t="shared" si="14"/>
        <v>5938.1264591999998</v>
      </c>
      <c r="I171" s="452"/>
      <c r="J171" s="280" t="s">
        <v>161</v>
      </c>
    </row>
    <row r="172" spans="1:11" hidden="1">
      <c r="A172" s="454"/>
      <c r="B172" s="452"/>
      <c r="C172" s="279" t="s">
        <v>331</v>
      </c>
      <c r="D172" s="279">
        <v>21860.280000000002</v>
      </c>
      <c r="E172" s="279">
        <f t="shared" si="12"/>
        <v>78.697008000000011</v>
      </c>
      <c r="F172" s="279">
        <f t="shared" si="13"/>
        <v>2076.9862232779101</v>
      </c>
      <c r="G172" s="279">
        <v>2.0373000000000001</v>
      </c>
      <c r="H172" s="279">
        <f t="shared" si="14"/>
        <v>44535.948444000009</v>
      </c>
      <c r="I172" s="452"/>
      <c r="J172" s="280" t="s">
        <v>161</v>
      </c>
    </row>
    <row r="173" spans="1:11" hidden="1">
      <c r="A173" s="454"/>
      <c r="B173" s="452"/>
      <c r="C173" s="279" t="s">
        <v>332</v>
      </c>
      <c r="D173" s="279">
        <v>1943.1360000000002</v>
      </c>
      <c r="E173" s="279">
        <f t="shared" si="12"/>
        <v>6.9952896000000004</v>
      </c>
      <c r="F173" s="279">
        <f t="shared" si="13"/>
        <v>184.62099762470308</v>
      </c>
      <c r="G173" s="279">
        <v>2.0373000000000001</v>
      </c>
      <c r="H173" s="279">
        <f t="shared" si="14"/>
        <v>3958.7509728000005</v>
      </c>
      <c r="I173" s="452"/>
      <c r="J173" s="280" t="s">
        <v>161</v>
      </c>
      <c r="K173" s="105">
        <f>I168*0.000001</f>
        <v>0.1939787976672</v>
      </c>
    </row>
    <row r="174" spans="1:11" hidden="1">
      <c r="A174" s="454"/>
      <c r="B174" s="452"/>
      <c r="C174" s="279" t="s">
        <v>333</v>
      </c>
      <c r="D174" s="279">
        <v>971.5680000000001</v>
      </c>
      <c r="E174" s="279">
        <f t="shared" si="12"/>
        <v>3.4976448000000002</v>
      </c>
      <c r="F174" s="279">
        <f t="shared" si="13"/>
        <v>92.31049881235154</v>
      </c>
      <c r="G174" s="279">
        <v>2.0373000000000001</v>
      </c>
      <c r="H174" s="279">
        <f t="shared" si="14"/>
        <v>1979.3754864000002</v>
      </c>
      <c r="I174" s="452"/>
      <c r="J174" s="280" t="s">
        <v>161</v>
      </c>
    </row>
    <row r="175" spans="1:11" hidden="1">
      <c r="A175" s="454"/>
      <c r="B175" s="452"/>
      <c r="C175" s="279" t="s">
        <v>3</v>
      </c>
      <c r="D175" s="279">
        <v>11173.031999999999</v>
      </c>
      <c r="E175" s="279">
        <f t="shared" si="12"/>
        <v>40.222915199999996</v>
      </c>
      <c r="F175" s="279">
        <f t="shared" si="13"/>
        <v>1061.5707363420427</v>
      </c>
      <c r="G175" s="279">
        <v>2.0373000000000001</v>
      </c>
      <c r="H175" s="279">
        <f t="shared" si="14"/>
        <v>22762.818093599999</v>
      </c>
      <c r="I175" s="452"/>
      <c r="J175" s="280" t="s">
        <v>161</v>
      </c>
    </row>
    <row r="176" spans="1:11" hidden="1">
      <c r="A176" s="454"/>
      <c r="B176" s="452"/>
      <c r="C176" s="279" t="s">
        <v>4</v>
      </c>
      <c r="D176" s="279">
        <v>3157.5960000000005</v>
      </c>
      <c r="E176" s="279">
        <f t="shared" si="12"/>
        <v>11.367345600000002</v>
      </c>
      <c r="F176" s="279">
        <f t="shared" si="13"/>
        <v>300.00912114014255</v>
      </c>
      <c r="G176" s="279">
        <v>2.0373000000000001</v>
      </c>
      <c r="H176" s="279">
        <f t="shared" si="14"/>
        <v>6432.9703308000016</v>
      </c>
      <c r="I176" s="452"/>
      <c r="J176" s="280" t="s">
        <v>161</v>
      </c>
    </row>
    <row r="177" spans="1:10" hidden="1">
      <c r="A177" s="454"/>
      <c r="B177" s="452"/>
      <c r="C177" s="279" t="s">
        <v>3</v>
      </c>
      <c r="D177" s="279">
        <v>6072.3</v>
      </c>
      <c r="E177" s="279">
        <f t="shared" si="12"/>
        <v>21.860279999999999</v>
      </c>
      <c r="F177" s="279">
        <f t="shared" si="13"/>
        <v>576.94061757719714</v>
      </c>
      <c r="G177" s="279">
        <v>2.0373000000000001</v>
      </c>
      <c r="H177" s="279">
        <f t="shared" si="14"/>
        <v>12371.096790000001</v>
      </c>
      <c r="I177" s="452"/>
      <c r="J177" s="280" t="s">
        <v>161</v>
      </c>
    </row>
    <row r="178" spans="1:10" hidden="1">
      <c r="A178" s="454"/>
      <c r="B178" s="452"/>
      <c r="C178" s="279" t="s">
        <v>4</v>
      </c>
      <c r="D178" s="279">
        <v>3400.4879999999998</v>
      </c>
      <c r="E178" s="279">
        <f t="shared" si="12"/>
        <v>12.241756799999999</v>
      </c>
      <c r="F178" s="279">
        <f t="shared" si="13"/>
        <v>323.08674584323035</v>
      </c>
      <c r="G178" s="279">
        <v>2.0373000000000001</v>
      </c>
      <c r="H178" s="279">
        <f t="shared" si="14"/>
        <v>6927.8142023999999</v>
      </c>
      <c r="I178" s="452"/>
      <c r="J178" s="280" t="s">
        <v>161</v>
      </c>
    </row>
    <row r="179" spans="1:10" hidden="1">
      <c r="A179" s="454"/>
      <c r="B179" s="452"/>
      <c r="C179" s="279" t="s">
        <v>5</v>
      </c>
      <c r="D179" s="279">
        <v>8258.3279999999995</v>
      </c>
      <c r="E179" s="279">
        <f t="shared" si="12"/>
        <v>29.729980799999996</v>
      </c>
      <c r="F179" s="279">
        <f t="shared" si="13"/>
        <v>784.63923990498802</v>
      </c>
      <c r="G179" s="279">
        <v>2.0373000000000001</v>
      </c>
      <c r="H179" s="279">
        <f t="shared" si="14"/>
        <v>16824.691634399998</v>
      </c>
      <c r="I179" s="452"/>
      <c r="J179" s="280" t="s">
        <v>161</v>
      </c>
    </row>
    <row r="180" spans="1:10" hidden="1">
      <c r="A180" s="454"/>
      <c r="B180" s="452"/>
      <c r="C180" s="279" t="s">
        <v>6</v>
      </c>
      <c r="D180" s="279">
        <v>971.5680000000001</v>
      </c>
      <c r="E180" s="279">
        <f t="shared" si="12"/>
        <v>3.4976448000000002</v>
      </c>
      <c r="F180" s="279">
        <f t="shared" si="13"/>
        <v>92.31049881235154</v>
      </c>
      <c r="G180" s="279">
        <v>2.0373000000000001</v>
      </c>
      <c r="H180" s="279">
        <f t="shared" si="14"/>
        <v>1979.3754864000002</v>
      </c>
      <c r="I180" s="452"/>
      <c r="J180" s="280" t="s">
        <v>161</v>
      </c>
    </row>
    <row r="181" spans="1:10" hidden="1">
      <c r="A181" s="454"/>
      <c r="B181" s="452"/>
      <c r="C181" s="279" t="s">
        <v>6</v>
      </c>
      <c r="D181" s="279">
        <v>8258.3279999999995</v>
      </c>
      <c r="E181" s="279">
        <f t="shared" si="12"/>
        <v>29.729980799999996</v>
      </c>
      <c r="F181" s="279">
        <f t="shared" si="13"/>
        <v>784.63923990498802</v>
      </c>
      <c r="G181" s="279">
        <v>2.0373000000000001</v>
      </c>
      <c r="H181" s="279">
        <f t="shared" si="14"/>
        <v>16824.691634399998</v>
      </c>
      <c r="I181" s="452"/>
      <c r="J181" s="280" t="s">
        <v>161</v>
      </c>
    </row>
    <row r="182" spans="1:10" ht="13" hidden="1" thickBot="1">
      <c r="A182" s="455"/>
      <c r="B182" s="480"/>
      <c r="C182" s="317" t="s">
        <v>3</v>
      </c>
      <c r="D182" s="317">
        <v>485.78400000000005</v>
      </c>
      <c r="E182" s="317">
        <f t="shared" si="12"/>
        <v>1.7488224000000001</v>
      </c>
      <c r="F182" s="317">
        <f t="shared" si="13"/>
        <v>46.15524940617577</v>
      </c>
      <c r="G182" s="317">
        <v>2.0373000000000001</v>
      </c>
      <c r="H182" s="317">
        <f t="shared" si="14"/>
        <v>989.68774320000011</v>
      </c>
      <c r="I182" s="480"/>
      <c r="J182" s="318" t="s">
        <v>161</v>
      </c>
    </row>
    <row r="183" spans="1:10" ht="13" hidden="1" customHeight="1" thickBot="1">
      <c r="A183" s="293"/>
      <c r="B183" s="293"/>
      <c r="C183" s="112"/>
      <c r="D183" s="112"/>
    </row>
    <row r="184" spans="1:10" ht="12" customHeight="1">
      <c r="A184" s="446" t="s">
        <v>162</v>
      </c>
      <c r="B184" s="447"/>
      <c r="C184" s="448"/>
      <c r="D184" s="286">
        <f>SUM(E106:E182)</f>
        <v>3435.9335354240011</v>
      </c>
    </row>
    <row r="185" spans="1:10" ht="13" customHeight="1">
      <c r="A185" s="296" t="s">
        <v>163</v>
      </c>
      <c r="B185" s="297"/>
      <c r="C185" s="121"/>
      <c r="D185" s="287">
        <f>SUM(I106+I168)*0.000001</f>
        <v>0.52096594647973193</v>
      </c>
    </row>
    <row r="186" spans="1:10">
      <c r="A186" s="296" t="s">
        <v>164</v>
      </c>
      <c r="B186" s="297"/>
      <c r="C186" s="121"/>
      <c r="D186" s="321">
        <f>I153*0.000001</f>
        <v>103.07871175634985</v>
      </c>
    </row>
    <row r="187" spans="1:10" ht="13" thickBot="1">
      <c r="A187" s="294" t="s">
        <v>7</v>
      </c>
      <c r="B187" s="295"/>
      <c r="C187" s="246"/>
      <c r="D187" s="287">
        <f>I165*0.000001</f>
        <v>4.3301525347459464E-2</v>
      </c>
    </row>
    <row r="188" spans="1:10" ht="13" thickBot="1">
      <c r="A188" s="239" t="s">
        <v>8</v>
      </c>
      <c r="B188" s="240"/>
      <c r="C188" s="240"/>
      <c r="D188" s="289">
        <f>SUM(D185:D187)</f>
        <v>103.64297922817704</v>
      </c>
    </row>
    <row r="189" spans="1:10">
      <c r="D189" s="112"/>
    </row>
    <row r="190" spans="1:10">
      <c r="D190" s="112"/>
    </row>
    <row r="191" spans="1:10" ht="13" thickBot="1">
      <c r="A191" s="456" t="s">
        <v>9</v>
      </c>
      <c r="B191" s="456"/>
      <c r="C191" s="456"/>
      <c r="D191" s="456"/>
    </row>
    <row r="192" spans="1:10" ht="14" hidden="1" thickBot="1">
      <c r="A192" s="241" t="s">
        <v>10</v>
      </c>
      <c r="B192" s="242" t="s">
        <v>11</v>
      </c>
      <c r="C192" s="242" t="s">
        <v>12</v>
      </c>
      <c r="D192" s="243" t="s">
        <v>13</v>
      </c>
      <c r="E192" s="244" t="s">
        <v>14</v>
      </c>
      <c r="F192" s="242" t="s">
        <v>15</v>
      </c>
      <c r="G192" s="242" t="s">
        <v>94</v>
      </c>
      <c r="H192" s="242" t="s">
        <v>95</v>
      </c>
      <c r="I192" s="242" t="s">
        <v>96</v>
      </c>
      <c r="J192" s="245" t="s">
        <v>97</v>
      </c>
    </row>
    <row r="193" spans="1:10" ht="13" hidden="1">
      <c r="A193" s="457" t="s">
        <v>92</v>
      </c>
      <c r="B193" s="458" t="s">
        <v>93</v>
      </c>
      <c r="C193" s="323" t="s">
        <v>409</v>
      </c>
      <c r="D193" s="323">
        <v>2652.72</v>
      </c>
      <c r="E193" s="276">
        <f t="shared" ref="E193:E256" si="15">D193*E$22</f>
        <v>9.5497919999999983</v>
      </c>
      <c r="F193" s="276">
        <f t="shared" ref="F193:F256" si="16">E193*E$25</f>
        <v>252.03990498812345</v>
      </c>
      <c r="G193" s="276">
        <v>2.0373000000000001</v>
      </c>
      <c r="H193" s="276">
        <f>G193*D193</f>
        <v>5404.3864560000002</v>
      </c>
      <c r="I193" s="450">
        <f>SUM(H193:H247)</f>
        <v>315563.86229005805</v>
      </c>
      <c r="J193" s="277" t="s">
        <v>131</v>
      </c>
    </row>
    <row r="194" spans="1:10" ht="13" hidden="1">
      <c r="A194" s="454"/>
      <c r="B194" s="451"/>
      <c r="C194" s="302" t="s">
        <v>410</v>
      </c>
      <c r="D194" s="302">
        <v>2652.72</v>
      </c>
      <c r="E194" s="279">
        <f t="shared" si="15"/>
        <v>9.5497919999999983</v>
      </c>
      <c r="F194" s="279">
        <f t="shared" si="16"/>
        <v>252.03990498812345</v>
      </c>
      <c r="G194" s="279">
        <v>2.0373000000000001</v>
      </c>
      <c r="H194" s="279">
        <f t="shared" ref="H194:H247" si="17">G194*D194</f>
        <v>5404.3864560000002</v>
      </c>
      <c r="I194" s="451"/>
      <c r="J194" s="280" t="s">
        <v>131</v>
      </c>
    </row>
    <row r="195" spans="1:10" ht="13" hidden="1">
      <c r="A195" s="454"/>
      <c r="B195" s="451"/>
      <c r="C195" s="302" t="s">
        <v>411</v>
      </c>
      <c r="D195" s="302">
        <v>12202.512000000001</v>
      </c>
      <c r="E195" s="279">
        <f t="shared" si="15"/>
        <v>43.929043200000002</v>
      </c>
      <c r="F195" s="279">
        <f t="shared" si="16"/>
        <v>1159.3835629453681</v>
      </c>
      <c r="G195" s="279">
        <v>2.0373000000000001</v>
      </c>
      <c r="H195" s="279">
        <f t="shared" si="17"/>
        <v>24860.177697600004</v>
      </c>
      <c r="I195" s="451"/>
      <c r="J195" s="280" t="s">
        <v>131</v>
      </c>
    </row>
    <row r="196" spans="1:10" ht="13" hidden="1">
      <c r="A196" s="454"/>
      <c r="B196" s="451"/>
      <c r="C196" s="302" t="s">
        <v>412</v>
      </c>
      <c r="D196" s="302">
        <v>2233.4955</v>
      </c>
      <c r="E196" s="279">
        <f t="shared" si="15"/>
        <v>8.0405838000000003</v>
      </c>
      <c r="F196" s="279">
        <f t="shared" si="16"/>
        <v>212.20859857482185</v>
      </c>
      <c r="G196" s="279">
        <v>2.0373000000000001</v>
      </c>
      <c r="H196" s="279">
        <f t="shared" si="17"/>
        <v>4550.3003821500006</v>
      </c>
      <c r="I196" s="451"/>
      <c r="J196" s="280" t="s">
        <v>131</v>
      </c>
    </row>
    <row r="197" spans="1:10" ht="13" hidden="1">
      <c r="A197" s="454"/>
      <c r="B197" s="451"/>
      <c r="C197" s="302" t="s">
        <v>413</v>
      </c>
      <c r="D197" s="302">
        <v>4968.1655999999994</v>
      </c>
      <c r="E197" s="279">
        <f t="shared" si="15"/>
        <v>17.885396159999996</v>
      </c>
      <c r="F197" s="279">
        <f t="shared" si="16"/>
        <v>472.03473634204261</v>
      </c>
      <c r="G197" s="279">
        <v>2.0373000000000001</v>
      </c>
      <c r="H197" s="279">
        <f t="shared" si="17"/>
        <v>10121.643776879999</v>
      </c>
      <c r="I197" s="451"/>
      <c r="J197" s="280" t="s">
        <v>131</v>
      </c>
    </row>
    <row r="198" spans="1:10" ht="13" hidden="1">
      <c r="A198" s="454"/>
      <c r="B198" s="451"/>
      <c r="C198" s="302" t="s">
        <v>144</v>
      </c>
      <c r="D198" s="302">
        <v>2228.2847999999999</v>
      </c>
      <c r="E198" s="279">
        <f t="shared" si="15"/>
        <v>8.0218252799999998</v>
      </c>
      <c r="F198" s="279">
        <f t="shared" si="16"/>
        <v>211.71352019002373</v>
      </c>
      <c r="G198" s="279">
        <v>2.0373000000000001</v>
      </c>
      <c r="H198" s="279">
        <f t="shared" si="17"/>
        <v>4539.6846230399997</v>
      </c>
      <c r="I198" s="451"/>
      <c r="J198" s="280" t="s">
        <v>137</v>
      </c>
    </row>
    <row r="199" spans="1:10" ht="13" hidden="1">
      <c r="A199" s="454"/>
      <c r="B199" s="451"/>
      <c r="C199" s="302" t="s">
        <v>270</v>
      </c>
      <c r="D199" s="302">
        <v>1089.51</v>
      </c>
      <c r="E199" s="279">
        <f t="shared" si="15"/>
        <v>3.9222359999999998</v>
      </c>
      <c r="F199" s="279">
        <f t="shared" si="16"/>
        <v>103.51638954869358</v>
      </c>
      <c r="G199" s="279">
        <v>2.0373000000000001</v>
      </c>
      <c r="H199" s="279">
        <f t="shared" si="17"/>
        <v>2219.658723</v>
      </c>
      <c r="I199" s="451"/>
      <c r="J199" s="280" t="s">
        <v>137</v>
      </c>
    </row>
    <row r="200" spans="1:10" ht="13" hidden="1">
      <c r="A200" s="454"/>
      <c r="B200" s="451"/>
      <c r="C200" s="302" t="s">
        <v>98</v>
      </c>
      <c r="D200" s="302">
        <v>3115.9985999999999</v>
      </c>
      <c r="E200" s="279">
        <f t="shared" si="15"/>
        <v>11.21759496</v>
      </c>
      <c r="F200" s="279">
        <f t="shared" si="16"/>
        <v>296.05687410926362</v>
      </c>
      <c r="G200" s="279">
        <v>2.0373000000000001</v>
      </c>
      <c r="H200" s="279">
        <f t="shared" si="17"/>
        <v>6348.2239477800003</v>
      </c>
      <c r="I200" s="451"/>
      <c r="J200" s="280" t="s">
        <v>137</v>
      </c>
    </row>
    <row r="201" spans="1:10" ht="13" hidden="1">
      <c r="A201" s="454"/>
      <c r="B201" s="451"/>
      <c r="C201" s="302" t="s">
        <v>443</v>
      </c>
      <c r="D201" s="302">
        <v>2205.5472</v>
      </c>
      <c r="E201" s="279">
        <f t="shared" si="15"/>
        <v>7.9399699199999993</v>
      </c>
      <c r="F201" s="279">
        <f t="shared" si="16"/>
        <v>209.55317814726837</v>
      </c>
      <c r="G201" s="279">
        <v>2.0373000000000001</v>
      </c>
      <c r="H201" s="279">
        <f t="shared" si="17"/>
        <v>4493.3613105599998</v>
      </c>
      <c r="I201" s="451"/>
      <c r="J201" s="280" t="s">
        <v>132</v>
      </c>
    </row>
    <row r="202" spans="1:10" ht="13" hidden="1">
      <c r="A202" s="454"/>
      <c r="B202" s="451"/>
      <c r="C202" s="302" t="s">
        <v>271</v>
      </c>
      <c r="D202" s="302">
        <v>1894.8</v>
      </c>
      <c r="E202" s="279">
        <f t="shared" si="15"/>
        <v>6.8212799999999998</v>
      </c>
      <c r="F202" s="279">
        <f t="shared" si="16"/>
        <v>180.02850356294536</v>
      </c>
      <c r="G202" s="279">
        <v>2.0373000000000001</v>
      </c>
      <c r="H202" s="279">
        <f t="shared" si="17"/>
        <v>3860.2760400000002</v>
      </c>
      <c r="I202" s="451"/>
      <c r="J202" s="280" t="s">
        <v>132</v>
      </c>
    </row>
    <row r="203" spans="1:10" ht="13" hidden="1">
      <c r="A203" s="454"/>
      <c r="B203" s="451"/>
      <c r="C203" s="302" t="s">
        <v>142</v>
      </c>
      <c r="D203" s="302">
        <v>1337.7287999999999</v>
      </c>
      <c r="E203" s="279">
        <f t="shared" si="15"/>
        <v>4.8158236799999994</v>
      </c>
      <c r="F203" s="279">
        <f t="shared" si="16"/>
        <v>127.10012351543941</v>
      </c>
      <c r="G203" s="279">
        <v>2.0373000000000001</v>
      </c>
      <c r="H203" s="279">
        <f t="shared" si="17"/>
        <v>2725.35488424</v>
      </c>
      <c r="I203" s="451"/>
      <c r="J203" s="280" t="s">
        <v>132</v>
      </c>
    </row>
    <row r="204" spans="1:10" ht="13" hidden="1">
      <c r="A204" s="454"/>
      <c r="B204" s="451"/>
      <c r="C204" s="302" t="s">
        <v>649</v>
      </c>
      <c r="D204" s="302">
        <v>1894.8</v>
      </c>
      <c r="E204" s="279">
        <f t="shared" si="15"/>
        <v>6.8212799999999998</v>
      </c>
      <c r="F204" s="279">
        <f t="shared" si="16"/>
        <v>180.02850356294536</v>
      </c>
      <c r="G204" s="279">
        <v>2.0373000000000001</v>
      </c>
      <c r="H204" s="279">
        <f t="shared" si="17"/>
        <v>3860.2760400000002</v>
      </c>
      <c r="I204" s="451"/>
      <c r="J204" s="280" t="s">
        <v>66</v>
      </c>
    </row>
    <row r="205" spans="1:10" ht="13" hidden="1">
      <c r="A205" s="454"/>
      <c r="B205" s="451"/>
      <c r="C205" s="302" t="s">
        <v>650</v>
      </c>
      <c r="D205" s="302">
        <v>1982.9081999999999</v>
      </c>
      <c r="E205" s="279">
        <f t="shared" si="15"/>
        <v>7.1384695199999992</v>
      </c>
      <c r="F205" s="279">
        <f t="shared" si="16"/>
        <v>188.39982897862231</v>
      </c>
      <c r="G205" s="279">
        <v>2.0373000000000001</v>
      </c>
      <c r="H205" s="279">
        <f t="shared" si="17"/>
        <v>4039.77887586</v>
      </c>
      <c r="I205" s="451"/>
      <c r="J205" s="280" t="s">
        <v>66</v>
      </c>
    </row>
    <row r="206" spans="1:10" ht="13" hidden="1">
      <c r="A206" s="454"/>
      <c r="B206" s="451"/>
      <c r="C206" s="302" t="s">
        <v>651</v>
      </c>
      <c r="D206" s="302">
        <v>1982.9081999999999</v>
      </c>
      <c r="E206" s="279">
        <f t="shared" si="15"/>
        <v>7.1384695199999992</v>
      </c>
      <c r="F206" s="279">
        <f t="shared" si="16"/>
        <v>188.39982897862231</v>
      </c>
      <c r="G206" s="279">
        <v>2.0373000000000001</v>
      </c>
      <c r="H206" s="279">
        <f t="shared" si="17"/>
        <v>4039.77887586</v>
      </c>
      <c r="I206" s="451"/>
      <c r="J206" s="280" t="s">
        <v>66</v>
      </c>
    </row>
    <row r="207" spans="1:10" ht="13" hidden="1">
      <c r="A207" s="454"/>
      <c r="B207" s="451"/>
      <c r="C207" s="302" t="s">
        <v>144</v>
      </c>
      <c r="D207" s="302">
        <v>2527.6632</v>
      </c>
      <c r="E207" s="279">
        <f t="shared" si="15"/>
        <v>9.09958752</v>
      </c>
      <c r="F207" s="279">
        <f t="shared" si="16"/>
        <v>240.15802375296911</v>
      </c>
      <c r="G207" s="279">
        <v>2.0373000000000001</v>
      </c>
      <c r="H207" s="279">
        <f t="shared" si="17"/>
        <v>5149.6082373600002</v>
      </c>
      <c r="I207" s="451"/>
      <c r="J207" s="280" t="s">
        <v>137</v>
      </c>
    </row>
    <row r="208" spans="1:10" ht="13" hidden="1">
      <c r="A208" s="454"/>
      <c r="B208" s="451"/>
      <c r="C208" s="302" t="s">
        <v>144</v>
      </c>
      <c r="D208" s="302">
        <v>227.37599999999998</v>
      </c>
      <c r="E208" s="279">
        <f t="shared" si="15"/>
        <v>0.81855359999999988</v>
      </c>
      <c r="F208" s="279">
        <f t="shared" si="16"/>
        <v>21.603420427553441</v>
      </c>
      <c r="G208" s="279">
        <v>2.0373000000000001</v>
      </c>
      <c r="H208" s="279">
        <f t="shared" si="17"/>
        <v>463.23312479999998</v>
      </c>
      <c r="I208" s="451"/>
      <c r="J208" s="280" t="s">
        <v>137</v>
      </c>
    </row>
    <row r="209" spans="1:10" ht="13" hidden="1">
      <c r="A209" s="454"/>
      <c r="B209" s="451"/>
      <c r="C209" s="302" t="s">
        <v>144</v>
      </c>
      <c r="D209" s="302">
        <v>1982.9081999999999</v>
      </c>
      <c r="E209" s="279">
        <f t="shared" si="15"/>
        <v>7.1384695199999992</v>
      </c>
      <c r="F209" s="279">
        <f t="shared" si="16"/>
        <v>188.39982897862231</v>
      </c>
      <c r="G209" s="279">
        <v>2.0373000000000001</v>
      </c>
      <c r="H209" s="279">
        <f t="shared" si="17"/>
        <v>4039.77887586</v>
      </c>
      <c r="I209" s="451"/>
      <c r="J209" s="280" t="s">
        <v>137</v>
      </c>
    </row>
    <row r="210" spans="1:10" ht="13" hidden="1">
      <c r="A210" s="454"/>
      <c r="B210" s="451"/>
      <c r="C210" s="302" t="s">
        <v>144</v>
      </c>
      <c r="D210" s="302">
        <v>1705.32</v>
      </c>
      <c r="E210" s="279">
        <f t="shared" si="15"/>
        <v>6.1391519999999993</v>
      </c>
      <c r="F210" s="279">
        <f t="shared" si="16"/>
        <v>162.02565320665082</v>
      </c>
      <c r="G210" s="279">
        <v>2.0373000000000001</v>
      </c>
      <c r="H210" s="279">
        <f t="shared" si="17"/>
        <v>3474.2484359999999</v>
      </c>
      <c r="I210" s="451"/>
      <c r="J210" s="280" t="s">
        <v>137</v>
      </c>
    </row>
    <row r="211" spans="1:10" ht="13" hidden="1">
      <c r="A211" s="454"/>
      <c r="B211" s="451"/>
      <c r="C211" s="302" t="s">
        <v>144</v>
      </c>
      <c r="D211" s="302">
        <v>1568.8943999999999</v>
      </c>
      <c r="E211" s="279">
        <f t="shared" si="15"/>
        <v>5.6480198399999999</v>
      </c>
      <c r="F211" s="279">
        <f t="shared" si="16"/>
        <v>149.06360095011877</v>
      </c>
      <c r="G211" s="279">
        <v>2.0373000000000001</v>
      </c>
      <c r="H211" s="279">
        <f t="shared" si="17"/>
        <v>3196.3085611199999</v>
      </c>
      <c r="I211" s="451"/>
      <c r="J211" s="280" t="s">
        <v>137</v>
      </c>
    </row>
    <row r="212" spans="1:10" ht="13" hidden="1">
      <c r="A212" s="454"/>
      <c r="B212" s="451"/>
      <c r="C212" s="302" t="s">
        <v>144</v>
      </c>
      <c r="D212" s="302">
        <v>5229.6479999999992</v>
      </c>
      <c r="E212" s="279">
        <f t="shared" si="15"/>
        <v>18.826732799999995</v>
      </c>
      <c r="F212" s="279">
        <f t="shared" si="16"/>
        <v>496.87866983372908</v>
      </c>
      <c r="G212" s="279">
        <v>2.0373000000000001</v>
      </c>
      <c r="H212" s="279">
        <f t="shared" si="17"/>
        <v>10654.361870399998</v>
      </c>
      <c r="I212" s="451"/>
      <c r="J212" s="280" t="s">
        <v>137</v>
      </c>
    </row>
    <row r="213" spans="1:10" ht="13" hidden="1">
      <c r="A213" s="454"/>
      <c r="B213" s="451"/>
      <c r="C213" s="302" t="s">
        <v>144</v>
      </c>
      <c r="D213" s="302">
        <v>2527.6632</v>
      </c>
      <c r="E213" s="279">
        <f t="shared" si="15"/>
        <v>9.09958752</v>
      </c>
      <c r="F213" s="279">
        <f t="shared" si="16"/>
        <v>240.15802375296911</v>
      </c>
      <c r="G213" s="279">
        <v>2.0373000000000001</v>
      </c>
      <c r="H213" s="279">
        <f t="shared" si="17"/>
        <v>5149.6082373600002</v>
      </c>
      <c r="I213" s="451"/>
      <c r="J213" s="280" t="s">
        <v>137</v>
      </c>
    </row>
    <row r="214" spans="1:10" ht="13" hidden="1">
      <c r="A214" s="454"/>
      <c r="B214" s="451"/>
      <c r="C214" s="302" t="s">
        <v>144</v>
      </c>
      <c r="D214" s="120">
        <v>954.97919999999999</v>
      </c>
      <c r="E214" s="279">
        <f t="shared" si="15"/>
        <v>3.4379251200000001</v>
      </c>
      <c r="F214" s="279">
        <f t="shared" si="16"/>
        <v>90.734365795724457</v>
      </c>
      <c r="G214" s="279">
        <v>2.0373000000000001</v>
      </c>
      <c r="H214" s="279">
        <f t="shared" si="17"/>
        <v>1945.57912416</v>
      </c>
      <c r="I214" s="451"/>
      <c r="J214" s="280" t="s">
        <v>137</v>
      </c>
    </row>
    <row r="215" spans="1:10" ht="13" hidden="1">
      <c r="A215" s="454"/>
      <c r="B215" s="451"/>
      <c r="C215" s="302" t="s">
        <v>144</v>
      </c>
      <c r="D215" s="120">
        <v>849.81780000000003</v>
      </c>
      <c r="E215" s="279">
        <f t="shared" si="15"/>
        <v>3.0593440800000002</v>
      </c>
      <c r="F215" s="279">
        <f t="shared" si="16"/>
        <v>80.742783847981002</v>
      </c>
      <c r="G215" s="279">
        <v>2.0373000000000001</v>
      </c>
      <c r="H215" s="279">
        <f t="shared" si="17"/>
        <v>1731.3338039400001</v>
      </c>
      <c r="I215" s="451"/>
      <c r="J215" s="280" t="s">
        <v>137</v>
      </c>
    </row>
    <row r="216" spans="1:10" ht="13" hidden="1">
      <c r="A216" s="454"/>
      <c r="B216" s="451"/>
      <c r="C216" s="302" t="s">
        <v>443</v>
      </c>
      <c r="D216" s="120">
        <v>1786.7963999999999</v>
      </c>
      <c r="E216" s="279">
        <f t="shared" si="15"/>
        <v>6.4324670399999997</v>
      </c>
      <c r="F216" s="279">
        <f t="shared" si="16"/>
        <v>169.76687885985746</v>
      </c>
      <c r="G216" s="279">
        <v>2.0373000000000001</v>
      </c>
      <c r="H216" s="279">
        <f t="shared" si="17"/>
        <v>3640.2403057199999</v>
      </c>
      <c r="I216" s="451"/>
      <c r="J216" s="280" t="s">
        <v>132</v>
      </c>
    </row>
    <row r="217" spans="1:10" ht="13" hidden="1">
      <c r="A217" s="454"/>
      <c r="B217" s="451"/>
      <c r="C217" s="302" t="s">
        <v>144</v>
      </c>
      <c r="D217" s="120">
        <v>1111.3001999999999</v>
      </c>
      <c r="E217" s="279">
        <f t="shared" si="15"/>
        <v>4.0006807199999992</v>
      </c>
      <c r="F217" s="279">
        <f t="shared" si="16"/>
        <v>105.58671733966743</v>
      </c>
      <c r="G217" s="279">
        <v>2.0373000000000001</v>
      </c>
      <c r="H217" s="279">
        <f t="shared" si="17"/>
        <v>2264.05189746</v>
      </c>
      <c r="I217" s="451"/>
      <c r="J217" s="280" t="s">
        <v>137</v>
      </c>
    </row>
    <row r="218" spans="1:10" ht="13" hidden="1">
      <c r="A218" s="454"/>
      <c r="B218" s="451"/>
      <c r="C218" s="302" t="s">
        <v>144</v>
      </c>
      <c r="D218" s="302">
        <v>2112.7019999999998</v>
      </c>
      <c r="E218" s="279">
        <f t="shared" si="15"/>
        <v>7.6057271999999987</v>
      </c>
      <c r="F218" s="279">
        <f t="shared" si="16"/>
        <v>200.73178147268405</v>
      </c>
      <c r="G218" s="279">
        <v>2.0373000000000001</v>
      </c>
      <c r="H218" s="279">
        <f t="shared" si="17"/>
        <v>4304.2077846000002</v>
      </c>
      <c r="I218" s="451"/>
      <c r="J218" s="280" t="s">
        <v>137</v>
      </c>
    </row>
    <row r="219" spans="1:10" ht="13" hidden="1">
      <c r="A219" s="454"/>
      <c r="B219" s="451"/>
      <c r="C219" s="302" t="s">
        <v>144</v>
      </c>
      <c r="D219" s="302">
        <v>2042.5944000000002</v>
      </c>
      <c r="E219" s="279">
        <f t="shared" si="15"/>
        <v>7.3533398400000003</v>
      </c>
      <c r="F219" s="279">
        <f t="shared" si="16"/>
        <v>194.07072684085512</v>
      </c>
      <c r="G219" s="279">
        <v>2.0373000000000001</v>
      </c>
      <c r="H219" s="279">
        <f t="shared" si="17"/>
        <v>4161.3775711200005</v>
      </c>
      <c r="I219" s="451"/>
      <c r="J219" s="280" t="s">
        <v>137</v>
      </c>
    </row>
    <row r="220" spans="1:10" ht="13" hidden="1">
      <c r="A220" s="454"/>
      <c r="B220" s="451"/>
      <c r="C220" s="302" t="s">
        <v>144</v>
      </c>
      <c r="D220" s="302">
        <v>849.81780000000003</v>
      </c>
      <c r="E220" s="279">
        <f t="shared" si="15"/>
        <v>3.0593440800000002</v>
      </c>
      <c r="F220" s="279">
        <f t="shared" si="16"/>
        <v>80.742783847981002</v>
      </c>
      <c r="G220" s="279">
        <v>2.0373000000000001</v>
      </c>
      <c r="H220" s="279">
        <f t="shared" si="17"/>
        <v>1731.3338039400001</v>
      </c>
      <c r="I220" s="451"/>
      <c r="J220" s="280" t="s">
        <v>137</v>
      </c>
    </row>
    <row r="221" spans="1:10" ht="13" hidden="1">
      <c r="A221" s="454"/>
      <c r="B221" s="451"/>
      <c r="C221" s="302" t="s">
        <v>652</v>
      </c>
      <c r="D221" s="302">
        <v>1917.5375999999999</v>
      </c>
      <c r="E221" s="279">
        <f t="shared" si="15"/>
        <v>6.9031353599999994</v>
      </c>
      <c r="F221" s="279">
        <f t="shared" si="16"/>
        <v>182.18884560570069</v>
      </c>
      <c r="G221" s="279">
        <v>2.0373000000000001</v>
      </c>
      <c r="H221" s="279">
        <f t="shared" si="17"/>
        <v>3906.5993524800001</v>
      </c>
      <c r="I221" s="451"/>
      <c r="J221" s="280" t="s">
        <v>137</v>
      </c>
    </row>
    <row r="222" spans="1:10" ht="13" hidden="1">
      <c r="A222" s="454"/>
      <c r="B222" s="451"/>
      <c r="C222" s="302" t="s">
        <v>653</v>
      </c>
      <c r="D222" s="302">
        <v>1699.6356000000001</v>
      </c>
      <c r="E222" s="279">
        <f t="shared" si="15"/>
        <v>6.1186881600000005</v>
      </c>
      <c r="F222" s="279">
        <f t="shared" si="16"/>
        <v>161.485567695962</v>
      </c>
      <c r="G222" s="279">
        <v>2.0373000000000001</v>
      </c>
      <c r="H222" s="279">
        <f t="shared" si="17"/>
        <v>3462.6676078800001</v>
      </c>
      <c r="I222" s="451"/>
      <c r="J222" s="280" t="s">
        <v>137</v>
      </c>
    </row>
    <row r="223" spans="1:10" ht="13" hidden="1">
      <c r="A223" s="454"/>
      <c r="B223" s="451"/>
      <c r="C223" s="302" t="s">
        <v>653</v>
      </c>
      <c r="D223" s="302">
        <v>1699.6356000000001</v>
      </c>
      <c r="E223" s="279">
        <f t="shared" si="15"/>
        <v>6.1186881600000005</v>
      </c>
      <c r="F223" s="279">
        <f t="shared" si="16"/>
        <v>161.485567695962</v>
      </c>
      <c r="G223" s="279">
        <v>2.0373000000000001</v>
      </c>
      <c r="H223" s="279">
        <f t="shared" si="17"/>
        <v>3462.6676078800001</v>
      </c>
      <c r="I223" s="451"/>
      <c r="J223" s="280" t="s">
        <v>137</v>
      </c>
    </row>
    <row r="224" spans="1:10" ht="13" hidden="1">
      <c r="A224" s="454"/>
      <c r="B224" s="451"/>
      <c r="C224" s="302" t="s">
        <v>654</v>
      </c>
      <c r="D224" s="302">
        <v>1917.5375999999999</v>
      </c>
      <c r="E224" s="279">
        <f t="shared" si="15"/>
        <v>6.9031353599999994</v>
      </c>
      <c r="F224" s="279">
        <f t="shared" si="16"/>
        <v>182.18884560570069</v>
      </c>
      <c r="G224" s="279">
        <v>2.0373000000000001</v>
      </c>
      <c r="H224" s="279">
        <f t="shared" si="17"/>
        <v>3906.5993524800001</v>
      </c>
      <c r="I224" s="451"/>
      <c r="J224" s="280" t="s">
        <v>137</v>
      </c>
    </row>
    <row r="225" spans="1:11" ht="13" hidden="1">
      <c r="A225" s="454"/>
      <c r="B225" s="451"/>
      <c r="C225" s="302" t="s">
        <v>655</v>
      </c>
      <c r="D225" s="302">
        <v>1808.5866000000001</v>
      </c>
      <c r="E225" s="279">
        <f t="shared" si="15"/>
        <v>6.5109117599999999</v>
      </c>
      <c r="F225" s="279">
        <f t="shared" si="16"/>
        <v>171.83720665083135</v>
      </c>
      <c r="G225" s="279">
        <v>2.0373000000000001</v>
      </c>
      <c r="H225" s="279">
        <f t="shared" si="17"/>
        <v>3684.6334801800003</v>
      </c>
      <c r="I225" s="451"/>
      <c r="J225" s="280" t="s">
        <v>137</v>
      </c>
    </row>
    <row r="226" spans="1:11" ht="13" hidden="1">
      <c r="A226" s="454"/>
      <c r="B226" s="451"/>
      <c r="C226" s="302" t="s">
        <v>656</v>
      </c>
      <c r="D226" s="302">
        <v>1111.3001999999999</v>
      </c>
      <c r="E226" s="279">
        <f t="shared" si="15"/>
        <v>4.0006807199999992</v>
      </c>
      <c r="F226" s="279">
        <f t="shared" si="16"/>
        <v>105.58671733966743</v>
      </c>
      <c r="G226" s="279">
        <v>2.0373000000000001</v>
      </c>
      <c r="H226" s="279">
        <f t="shared" si="17"/>
        <v>2264.05189746</v>
      </c>
      <c r="I226" s="451"/>
      <c r="J226" s="280" t="s">
        <v>137</v>
      </c>
    </row>
    <row r="227" spans="1:11" ht="13" hidden="1">
      <c r="A227" s="454"/>
      <c r="B227" s="451"/>
      <c r="C227" s="302" t="s">
        <v>539</v>
      </c>
      <c r="D227" s="302">
        <v>2004.6984</v>
      </c>
      <c r="E227" s="279">
        <f t="shared" si="15"/>
        <v>7.2169142399999995</v>
      </c>
      <c r="F227" s="279">
        <f t="shared" si="16"/>
        <v>190.47015676959617</v>
      </c>
      <c r="G227" s="279">
        <v>2.0373000000000001</v>
      </c>
      <c r="H227" s="279">
        <f t="shared" si="17"/>
        <v>4084.1720503200004</v>
      </c>
      <c r="I227" s="451"/>
      <c r="J227" s="280" t="s">
        <v>137</v>
      </c>
    </row>
    <row r="228" spans="1:11" ht="13" hidden="1">
      <c r="A228" s="454"/>
      <c r="B228" s="451"/>
      <c r="C228" s="302" t="s">
        <v>540</v>
      </c>
      <c r="D228" s="302">
        <v>920.87279999999998</v>
      </c>
      <c r="E228" s="279">
        <f t="shared" si="15"/>
        <v>3.3151420799999998</v>
      </c>
      <c r="F228" s="279">
        <f t="shared" si="16"/>
        <v>87.493852731591431</v>
      </c>
      <c r="G228" s="279">
        <v>2.0373000000000001</v>
      </c>
      <c r="H228" s="279">
        <f t="shared" si="17"/>
        <v>1876.0941554400001</v>
      </c>
      <c r="I228" s="451"/>
      <c r="J228" s="280" t="s">
        <v>137</v>
      </c>
    </row>
    <row r="229" spans="1:11" ht="13" hidden="1">
      <c r="A229" s="454"/>
      <c r="B229" s="451"/>
      <c r="C229" s="302" t="s">
        <v>541</v>
      </c>
      <c r="D229" s="302">
        <v>1894.8</v>
      </c>
      <c r="E229" s="279">
        <f t="shared" si="15"/>
        <v>6.8212799999999998</v>
      </c>
      <c r="F229" s="279">
        <f t="shared" si="16"/>
        <v>180.02850356294536</v>
      </c>
      <c r="G229" s="279">
        <v>2.0373000000000001</v>
      </c>
      <c r="H229" s="279">
        <f t="shared" si="17"/>
        <v>3860.2760400000002</v>
      </c>
      <c r="I229" s="451"/>
      <c r="J229" s="280" t="s">
        <v>137</v>
      </c>
    </row>
    <row r="230" spans="1:11" ht="13" hidden="1">
      <c r="A230" s="454"/>
      <c r="B230" s="451"/>
      <c r="C230" s="302" t="s">
        <v>542</v>
      </c>
      <c r="D230" s="302">
        <v>10160.865000000002</v>
      </c>
      <c r="E230" s="279">
        <f t="shared" si="15"/>
        <v>36.579114000000004</v>
      </c>
      <c r="F230" s="279">
        <f t="shared" si="16"/>
        <v>965.40285035629461</v>
      </c>
      <c r="G230" s="279">
        <v>2.0373000000000001</v>
      </c>
      <c r="H230" s="279">
        <f t="shared" si="17"/>
        <v>20700.730264500005</v>
      </c>
      <c r="I230" s="451"/>
      <c r="J230" s="280" t="s">
        <v>137</v>
      </c>
    </row>
    <row r="231" spans="1:11" ht="13" hidden="1">
      <c r="A231" s="454"/>
      <c r="B231" s="451"/>
      <c r="C231" s="302" t="s">
        <v>543</v>
      </c>
      <c r="D231" s="302">
        <v>14211</v>
      </c>
      <c r="E231" s="279">
        <f t="shared" si="15"/>
        <v>51.159599999999998</v>
      </c>
      <c r="F231" s="279">
        <f t="shared" si="16"/>
        <v>1350.2137767220902</v>
      </c>
      <c r="G231" s="279">
        <v>2.0373000000000001</v>
      </c>
      <c r="H231" s="279">
        <f t="shared" si="17"/>
        <v>28952.070300000003</v>
      </c>
      <c r="I231" s="451"/>
      <c r="J231" s="280" t="s">
        <v>137</v>
      </c>
    </row>
    <row r="232" spans="1:11" ht="13" hidden="1">
      <c r="A232" s="454"/>
      <c r="B232" s="451"/>
      <c r="C232" s="302" t="s">
        <v>151</v>
      </c>
      <c r="D232" s="302">
        <v>1042.1400000000001</v>
      </c>
      <c r="E232" s="279">
        <f t="shared" si="15"/>
        <v>3.7517040000000001</v>
      </c>
      <c r="F232" s="279">
        <f t="shared" si="16"/>
        <v>99.015676959619952</v>
      </c>
      <c r="G232" s="279">
        <v>2.0373000000000001</v>
      </c>
      <c r="H232" s="279">
        <f t="shared" si="17"/>
        <v>2123.1518220000003</v>
      </c>
      <c r="I232" s="451"/>
      <c r="J232" s="280" t="s">
        <v>68</v>
      </c>
    </row>
    <row r="233" spans="1:11" ht="13" hidden="1">
      <c r="A233" s="454"/>
      <c r="B233" s="451"/>
      <c r="C233" s="322" t="s">
        <v>99</v>
      </c>
      <c r="D233" s="120">
        <v>710.55</v>
      </c>
      <c r="E233" s="279">
        <f t="shared" si="15"/>
        <v>2.5579799999999997</v>
      </c>
      <c r="F233" s="279">
        <f t="shared" si="16"/>
        <v>67.510688836104507</v>
      </c>
      <c r="G233" s="279">
        <v>2.0373000000000001</v>
      </c>
      <c r="H233" s="279">
        <f t="shared" si="17"/>
        <v>1447.603515</v>
      </c>
      <c r="I233" s="451"/>
      <c r="J233" s="280" t="s">
        <v>68</v>
      </c>
    </row>
    <row r="234" spans="1:11" ht="13" hidden="1">
      <c r="A234" s="454"/>
      <c r="B234" s="451"/>
      <c r="C234" s="322" t="s">
        <v>100</v>
      </c>
      <c r="D234" s="120">
        <v>1364.2559999999999</v>
      </c>
      <c r="E234" s="279">
        <f t="shared" si="15"/>
        <v>4.9113215999999991</v>
      </c>
      <c r="F234" s="279">
        <f t="shared" si="16"/>
        <v>129.62052256532064</v>
      </c>
      <c r="G234" s="279">
        <v>2.0373000000000001</v>
      </c>
      <c r="H234" s="279">
        <f t="shared" si="17"/>
        <v>2779.3987487999998</v>
      </c>
      <c r="I234" s="451"/>
      <c r="J234" s="280" t="s">
        <v>68</v>
      </c>
    </row>
    <row r="235" spans="1:11" ht="13" hidden="1">
      <c r="A235" s="454"/>
      <c r="B235" s="451"/>
      <c r="C235" s="322" t="s">
        <v>101</v>
      </c>
      <c r="D235" s="120">
        <v>2344.8149999999996</v>
      </c>
      <c r="E235" s="279">
        <f t="shared" si="15"/>
        <v>8.4413339999999977</v>
      </c>
      <c r="F235" s="279">
        <f t="shared" si="16"/>
        <v>222.78527315914482</v>
      </c>
      <c r="G235" s="279">
        <v>2.0373000000000001</v>
      </c>
      <c r="H235" s="279">
        <f t="shared" si="17"/>
        <v>4777.0915994999996</v>
      </c>
      <c r="I235" s="451"/>
      <c r="J235" s="280" t="s">
        <v>68</v>
      </c>
    </row>
    <row r="236" spans="1:11" ht="13" hidden="1">
      <c r="A236" s="454"/>
      <c r="B236" s="451"/>
      <c r="C236" s="322" t="s">
        <v>102</v>
      </c>
      <c r="D236" s="120">
        <v>1812.7551600000002</v>
      </c>
      <c r="E236" s="279">
        <f t="shared" si="15"/>
        <v>6.5259185760000005</v>
      </c>
      <c r="F236" s="279">
        <f t="shared" si="16"/>
        <v>172.23326935866984</v>
      </c>
      <c r="G236" s="279">
        <v>2.0373000000000001</v>
      </c>
      <c r="H236" s="279">
        <f t="shared" si="17"/>
        <v>3693.1260874680006</v>
      </c>
      <c r="I236" s="451"/>
      <c r="J236" s="280" t="s">
        <v>68</v>
      </c>
    </row>
    <row r="237" spans="1:11" ht="13" hidden="1">
      <c r="A237" s="454"/>
      <c r="B237" s="451"/>
      <c r="C237" s="322" t="s">
        <v>103</v>
      </c>
      <c r="D237" s="120">
        <v>710.55</v>
      </c>
      <c r="E237" s="279">
        <f t="shared" si="15"/>
        <v>2.5579799999999997</v>
      </c>
      <c r="F237" s="279">
        <f t="shared" si="16"/>
        <v>67.510688836104507</v>
      </c>
      <c r="G237" s="279">
        <v>2.0373000000000001</v>
      </c>
      <c r="H237" s="279">
        <f t="shared" si="17"/>
        <v>1447.603515</v>
      </c>
      <c r="I237" s="451"/>
      <c r="J237" s="280" t="s">
        <v>68</v>
      </c>
    </row>
    <row r="238" spans="1:11" ht="13" hidden="1">
      <c r="A238" s="454"/>
      <c r="B238" s="451"/>
      <c r="C238" s="274" t="s">
        <v>104</v>
      </c>
      <c r="D238" s="304">
        <v>9095.0399999999991</v>
      </c>
      <c r="E238" s="279">
        <f t="shared" si="15"/>
        <v>32.742143999999996</v>
      </c>
      <c r="F238" s="279">
        <f t="shared" si="16"/>
        <v>864.13681710213757</v>
      </c>
      <c r="G238" s="279">
        <v>2.0373000000000001</v>
      </c>
      <c r="H238" s="279">
        <f t="shared" si="17"/>
        <v>18529.324991999998</v>
      </c>
      <c r="I238" s="451"/>
      <c r="J238" s="280" t="s">
        <v>68</v>
      </c>
      <c r="K238" s="292">
        <f>SUM(I193+I248+I256)</f>
        <v>23061463.40774269</v>
      </c>
    </row>
    <row r="239" spans="1:11" ht="13" hidden="1">
      <c r="A239" s="454"/>
      <c r="B239" s="451"/>
      <c r="C239" s="274" t="s">
        <v>105</v>
      </c>
      <c r="D239" s="304">
        <v>900.03</v>
      </c>
      <c r="E239" s="279">
        <f t="shared" si="15"/>
        <v>3.2401079999999998</v>
      </c>
      <c r="F239" s="279">
        <f t="shared" si="16"/>
        <v>85.513539192399037</v>
      </c>
      <c r="G239" s="279">
        <v>2.0373000000000001</v>
      </c>
      <c r="H239" s="279">
        <f t="shared" si="17"/>
        <v>1833.6311190000001</v>
      </c>
      <c r="I239" s="451"/>
      <c r="J239" s="280" t="s">
        <v>68</v>
      </c>
      <c r="K239" s="105">
        <f>K238*0.000001</f>
        <v>23.061463407742689</v>
      </c>
    </row>
    <row r="240" spans="1:11" ht="13" hidden="1">
      <c r="A240" s="454"/>
      <c r="B240" s="451"/>
      <c r="C240" s="274" t="s">
        <v>269</v>
      </c>
      <c r="D240" s="304">
        <v>113.68799999999999</v>
      </c>
      <c r="E240" s="279">
        <f t="shared" si="15"/>
        <v>0.40927679999999994</v>
      </c>
      <c r="F240" s="279">
        <f t="shared" si="16"/>
        <v>10.801710213776721</v>
      </c>
      <c r="G240" s="279">
        <v>2.0373000000000001</v>
      </c>
      <c r="H240" s="279">
        <f t="shared" si="17"/>
        <v>231.61656239999999</v>
      </c>
      <c r="I240" s="451"/>
      <c r="J240" s="280" t="s">
        <v>68</v>
      </c>
    </row>
    <row r="241" spans="1:10" ht="13" hidden="1">
      <c r="A241" s="454"/>
      <c r="B241" s="451"/>
      <c r="C241" s="274" t="s">
        <v>269</v>
      </c>
      <c r="D241" s="304">
        <v>136.42559999999997</v>
      </c>
      <c r="E241" s="279">
        <f t="shared" si="15"/>
        <v>0.49113215999999987</v>
      </c>
      <c r="F241" s="279">
        <f t="shared" si="16"/>
        <v>12.962052256532063</v>
      </c>
      <c r="G241" s="279">
        <v>2.0373000000000001</v>
      </c>
      <c r="H241" s="279">
        <f t="shared" si="17"/>
        <v>277.93987487999999</v>
      </c>
      <c r="I241" s="451"/>
      <c r="J241" s="280" t="s">
        <v>68</v>
      </c>
    </row>
    <row r="242" spans="1:10" ht="13" hidden="1">
      <c r="A242" s="454"/>
      <c r="B242" s="451"/>
      <c r="C242" s="274" t="s">
        <v>269</v>
      </c>
      <c r="D242" s="304">
        <v>1307.4119999999998</v>
      </c>
      <c r="E242" s="279">
        <f t="shared" si="15"/>
        <v>4.7066831999999987</v>
      </c>
      <c r="F242" s="279">
        <f t="shared" si="16"/>
        <v>124.21966745843227</v>
      </c>
      <c r="G242" s="279">
        <v>2.0373000000000001</v>
      </c>
      <c r="H242" s="279">
        <f t="shared" si="17"/>
        <v>2663.5904675999996</v>
      </c>
      <c r="I242" s="451"/>
      <c r="J242" s="280" t="s">
        <v>68</v>
      </c>
    </row>
    <row r="243" spans="1:10" ht="13" hidden="1">
      <c r="A243" s="454"/>
      <c r="B243" s="451"/>
      <c r="C243" s="274" t="s">
        <v>106</v>
      </c>
      <c r="D243" s="304">
        <v>818.55359999999996</v>
      </c>
      <c r="E243" s="279">
        <f t="shared" si="15"/>
        <v>2.9467929599999998</v>
      </c>
      <c r="F243" s="279">
        <f t="shared" si="16"/>
        <v>77.772313539192396</v>
      </c>
      <c r="G243" s="279">
        <v>2.0373000000000001</v>
      </c>
      <c r="H243" s="279">
        <f t="shared" si="17"/>
        <v>1667.6392492800001</v>
      </c>
      <c r="I243" s="451"/>
      <c r="J243" s="280" t="s">
        <v>68</v>
      </c>
    </row>
    <row r="244" spans="1:10" ht="13" hidden="1">
      <c r="A244" s="454"/>
      <c r="B244" s="451"/>
      <c r="C244" s="274" t="s">
        <v>269</v>
      </c>
      <c r="D244" s="304">
        <v>326.85299999999995</v>
      </c>
      <c r="E244" s="279">
        <f t="shared" si="15"/>
        <v>1.1766707999999997</v>
      </c>
      <c r="F244" s="279">
        <f t="shared" si="16"/>
        <v>31.054916864608067</v>
      </c>
      <c r="G244" s="279">
        <v>2.0373000000000001</v>
      </c>
      <c r="H244" s="279">
        <f t="shared" si="17"/>
        <v>665.89761689999989</v>
      </c>
      <c r="I244" s="451"/>
      <c r="J244" s="280" t="s">
        <v>68</v>
      </c>
    </row>
    <row r="245" spans="1:10" ht="13" hidden="1">
      <c r="A245" s="454"/>
      <c r="B245" s="451"/>
      <c r="C245" s="274" t="s">
        <v>105</v>
      </c>
      <c r="D245" s="304">
        <v>6252.8399999999992</v>
      </c>
      <c r="E245" s="279">
        <f t="shared" si="15"/>
        <v>22.510223999999997</v>
      </c>
      <c r="F245" s="279">
        <f t="shared" si="16"/>
        <v>594.0940617577196</v>
      </c>
      <c r="G245" s="279">
        <v>2.0373000000000001</v>
      </c>
      <c r="H245" s="279">
        <f t="shared" si="17"/>
        <v>12738.910931999999</v>
      </c>
      <c r="I245" s="451"/>
      <c r="J245" s="280" t="s">
        <v>68</v>
      </c>
    </row>
    <row r="246" spans="1:10" ht="13" hidden="1">
      <c r="A246" s="454"/>
      <c r="B246" s="451"/>
      <c r="C246" s="274" t="s">
        <v>105</v>
      </c>
      <c r="D246" s="304">
        <v>17053.2</v>
      </c>
      <c r="E246" s="279">
        <f t="shared" si="15"/>
        <v>61.39152</v>
      </c>
      <c r="F246" s="279">
        <f t="shared" si="16"/>
        <v>1620.2565320665083</v>
      </c>
      <c r="G246" s="279">
        <v>2.0373000000000001</v>
      </c>
      <c r="H246" s="279">
        <f t="shared" si="17"/>
        <v>34742.484360000002</v>
      </c>
      <c r="I246" s="451"/>
      <c r="J246" s="280" t="s">
        <v>68</v>
      </c>
    </row>
    <row r="247" spans="1:10" hidden="1">
      <c r="A247" s="454"/>
      <c r="B247" s="451"/>
      <c r="C247" s="274" t="s">
        <v>105</v>
      </c>
      <c r="D247" s="120">
        <v>3638.0159999999996</v>
      </c>
      <c r="E247" s="279">
        <f t="shared" si="15"/>
        <v>13.096857599999998</v>
      </c>
      <c r="F247" s="279">
        <f t="shared" si="16"/>
        <v>345.65472684085506</v>
      </c>
      <c r="G247" s="279">
        <v>2.0373000000000001</v>
      </c>
      <c r="H247" s="279">
        <f t="shared" si="17"/>
        <v>7411.7299967999998</v>
      </c>
      <c r="I247" s="451"/>
      <c r="J247" s="280" t="s">
        <v>68</v>
      </c>
    </row>
    <row r="248" spans="1:10" ht="13" hidden="1">
      <c r="A248" s="454"/>
      <c r="B248" s="487" t="s">
        <v>72</v>
      </c>
      <c r="C248" s="298" t="s">
        <v>648</v>
      </c>
      <c r="D248" s="300">
        <v>13421.5</v>
      </c>
      <c r="E248" s="283">
        <f t="shared" si="15"/>
        <v>48.317399999999999</v>
      </c>
      <c r="F248" s="283">
        <f t="shared" si="16"/>
        <v>1275.2019002375296</v>
      </c>
      <c r="G248" s="283">
        <v>1889.36</v>
      </c>
      <c r="H248" s="283">
        <f>G248*F248</f>
        <v>2409315.4622327788</v>
      </c>
      <c r="I248" s="452">
        <f>SUM(H248:H255)</f>
        <v>22463323.574346788</v>
      </c>
      <c r="J248" s="284" t="s">
        <v>73</v>
      </c>
    </row>
    <row r="249" spans="1:10" ht="13" hidden="1">
      <c r="A249" s="454"/>
      <c r="B249" s="452"/>
      <c r="C249" s="299" t="s">
        <v>629</v>
      </c>
      <c r="D249" s="298">
        <v>34738</v>
      </c>
      <c r="E249" s="283">
        <f t="shared" si="15"/>
        <v>125.0568</v>
      </c>
      <c r="F249" s="283">
        <f t="shared" si="16"/>
        <v>3300.5225653206649</v>
      </c>
      <c r="G249" s="283">
        <v>1889.36</v>
      </c>
      <c r="H249" s="283">
        <f t="shared" ref="H249:H255" si="18">G249*F249</f>
        <v>6235875.3140142513</v>
      </c>
      <c r="I249" s="452"/>
      <c r="J249" s="284" t="s">
        <v>73</v>
      </c>
    </row>
    <row r="250" spans="1:10" ht="13" hidden="1">
      <c r="A250" s="454"/>
      <c r="B250" s="452"/>
      <c r="C250" s="299" t="s">
        <v>630</v>
      </c>
      <c r="D250" s="298">
        <v>40264.499999999993</v>
      </c>
      <c r="E250" s="283">
        <f t="shared" si="15"/>
        <v>144.95219999999998</v>
      </c>
      <c r="F250" s="283">
        <f t="shared" si="16"/>
        <v>3825.6057007125883</v>
      </c>
      <c r="G250" s="283">
        <v>1889.36</v>
      </c>
      <c r="H250" s="283">
        <f t="shared" si="18"/>
        <v>7227946.3866983354</v>
      </c>
      <c r="I250" s="452"/>
      <c r="J250" s="284" t="s">
        <v>73</v>
      </c>
    </row>
    <row r="251" spans="1:10" ht="13" hidden="1">
      <c r="A251" s="454"/>
      <c r="B251" s="452"/>
      <c r="C251" s="299" t="s">
        <v>631</v>
      </c>
      <c r="D251" s="298">
        <v>33948.5</v>
      </c>
      <c r="E251" s="283">
        <f t="shared" si="15"/>
        <v>122.21459999999999</v>
      </c>
      <c r="F251" s="283">
        <f t="shared" si="16"/>
        <v>3225.5106888361042</v>
      </c>
      <c r="G251" s="283">
        <v>1889.36</v>
      </c>
      <c r="H251" s="283">
        <f>G251*F251</f>
        <v>6094150.8750593811</v>
      </c>
      <c r="I251" s="452"/>
      <c r="J251" s="284" t="s">
        <v>73</v>
      </c>
    </row>
    <row r="252" spans="1:10" ht="13" hidden="1">
      <c r="A252" s="454"/>
      <c r="B252" s="452"/>
      <c r="C252" s="298" t="s">
        <v>273</v>
      </c>
      <c r="D252" s="298">
        <v>473.69999999999993</v>
      </c>
      <c r="E252" s="283">
        <f t="shared" si="15"/>
        <v>1.7053199999999997</v>
      </c>
      <c r="F252" s="283">
        <f t="shared" si="16"/>
        <v>45.007125890736333</v>
      </c>
      <c r="G252" s="283">
        <v>1889.36</v>
      </c>
      <c r="H252" s="283">
        <f t="shared" si="18"/>
        <v>85034.663372921597</v>
      </c>
      <c r="I252" s="452"/>
      <c r="J252" s="284" t="s">
        <v>25</v>
      </c>
    </row>
    <row r="253" spans="1:10" ht="13" hidden="1">
      <c r="A253" s="454"/>
      <c r="B253" s="452"/>
      <c r="C253" s="298" t="s">
        <v>403</v>
      </c>
      <c r="D253" s="298">
        <v>947.39999999999986</v>
      </c>
      <c r="E253" s="283">
        <f t="shared" si="15"/>
        <v>3.4106399999999994</v>
      </c>
      <c r="F253" s="283">
        <f t="shared" si="16"/>
        <v>90.014251781472666</v>
      </c>
      <c r="G253" s="283">
        <v>1889.36</v>
      </c>
      <c r="H253" s="283">
        <f t="shared" si="18"/>
        <v>170069.32674584319</v>
      </c>
      <c r="I253" s="452"/>
      <c r="J253" s="284" t="s">
        <v>25</v>
      </c>
    </row>
    <row r="254" spans="1:10" ht="13" hidden="1">
      <c r="A254" s="454"/>
      <c r="B254" s="452"/>
      <c r="C254" s="298" t="s">
        <v>404</v>
      </c>
      <c r="D254" s="298">
        <v>947.39999999999986</v>
      </c>
      <c r="E254" s="283">
        <f t="shared" si="15"/>
        <v>3.4106399999999994</v>
      </c>
      <c r="F254" s="283">
        <f t="shared" si="16"/>
        <v>90.014251781472666</v>
      </c>
      <c r="G254" s="283">
        <v>1889.36</v>
      </c>
      <c r="H254" s="283">
        <f t="shared" si="18"/>
        <v>170069.32674584319</v>
      </c>
      <c r="I254" s="452"/>
      <c r="J254" s="284" t="s">
        <v>25</v>
      </c>
    </row>
    <row r="255" spans="1:10" ht="13" hidden="1">
      <c r="A255" s="454"/>
      <c r="B255" s="452"/>
      <c r="C255" s="299" t="s">
        <v>147</v>
      </c>
      <c r="D255" s="298">
        <v>394.74999999999994</v>
      </c>
      <c r="E255" s="283">
        <f t="shared" si="15"/>
        <v>1.4210999999999998</v>
      </c>
      <c r="F255" s="283">
        <f t="shared" si="16"/>
        <v>37.50593824228028</v>
      </c>
      <c r="G255" s="283">
        <v>1889.36</v>
      </c>
      <c r="H255" s="283">
        <f t="shared" si="18"/>
        <v>70862.219477434672</v>
      </c>
      <c r="I255" s="452"/>
      <c r="J255" s="284" t="s">
        <v>25</v>
      </c>
    </row>
    <row r="256" spans="1:10" ht="13" hidden="1">
      <c r="A256" s="454"/>
      <c r="B256" s="487" t="s">
        <v>74</v>
      </c>
      <c r="C256" s="299" t="s">
        <v>405</v>
      </c>
      <c r="D256" s="298">
        <v>9864.5393333333323</v>
      </c>
      <c r="E256" s="283">
        <f t="shared" si="15"/>
        <v>35.512341599999992</v>
      </c>
      <c r="F256" s="283">
        <f t="shared" si="16"/>
        <v>937.24839271575593</v>
      </c>
      <c r="G256" s="282">
        <v>96.616216216216216</v>
      </c>
      <c r="H256" s="282">
        <f>G256*E256</f>
        <v>3431.0680743697289</v>
      </c>
      <c r="I256" s="452">
        <f>SUM(H256:H260)</f>
        <v>282575.97110584215</v>
      </c>
      <c r="J256" s="285" t="s">
        <v>107</v>
      </c>
    </row>
    <row r="257" spans="1:11" ht="13" hidden="1">
      <c r="A257" s="454"/>
      <c r="B257" s="452"/>
      <c r="C257" s="299" t="s">
        <v>406</v>
      </c>
      <c r="D257" s="298">
        <v>9864.5393333333323</v>
      </c>
      <c r="E257" s="283">
        <f t="shared" ref="E257:E265" si="19">D257*E$22</f>
        <v>35.512341599999992</v>
      </c>
      <c r="F257" s="283">
        <f t="shared" ref="F257:F265" si="20">E257*E$25</f>
        <v>937.24839271575593</v>
      </c>
      <c r="G257" s="282">
        <v>96.616216216216216</v>
      </c>
      <c r="H257" s="282">
        <f>G257*E257</f>
        <v>3431.0680743697289</v>
      </c>
      <c r="I257" s="452"/>
      <c r="J257" s="285" t="s">
        <v>107</v>
      </c>
    </row>
    <row r="258" spans="1:11" ht="13" hidden="1">
      <c r="A258" s="454"/>
      <c r="B258" s="452"/>
      <c r="C258" s="298" t="s">
        <v>645</v>
      </c>
      <c r="D258" s="298">
        <v>239500.08833333332</v>
      </c>
      <c r="E258" s="283">
        <f t="shared" si="19"/>
        <v>862.20031799999992</v>
      </c>
      <c r="F258" s="283">
        <f t="shared" si="20"/>
        <v>22755.35281076801</v>
      </c>
      <c r="G258" s="282">
        <v>96.616216216216216</v>
      </c>
      <c r="H258" s="282">
        <f t="shared" ref="H258:H260" si="21">G258*E258</f>
        <v>83302.532345578365</v>
      </c>
      <c r="I258" s="452"/>
      <c r="J258" s="285" t="s">
        <v>107</v>
      </c>
    </row>
    <row r="259" spans="1:11" ht="13" hidden="1">
      <c r="A259" s="454"/>
      <c r="B259" s="452"/>
      <c r="C259" s="298" t="s">
        <v>646</v>
      </c>
      <c r="D259" s="298">
        <v>239500.08833333332</v>
      </c>
      <c r="E259" s="283">
        <f t="shared" si="19"/>
        <v>862.20031799999992</v>
      </c>
      <c r="F259" s="283">
        <f t="shared" si="20"/>
        <v>22755.35281076801</v>
      </c>
      <c r="G259" s="282">
        <v>96.616216216216216</v>
      </c>
      <c r="H259" s="282">
        <f t="shared" si="21"/>
        <v>83302.532345578365</v>
      </c>
      <c r="I259" s="452"/>
      <c r="J259" s="285" t="s">
        <v>107</v>
      </c>
    </row>
    <row r="260" spans="1:11" ht="13" hidden="1">
      <c r="A260" s="454"/>
      <c r="B260" s="452"/>
      <c r="C260" s="298" t="s">
        <v>647</v>
      </c>
      <c r="D260" s="298">
        <v>313694.66666666669</v>
      </c>
      <c r="E260" s="283">
        <f t="shared" si="19"/>
        <v>1129.3008</v>
      </c>
      <c r="F260" s="283">
        <f t="shared" si="20"/>
        <v>29804.718923198732</v>
      </c>
      <c r="G260" s="282">
        <v>96.616216216216216</v>
      </c>
      <c r="H260" s="282">
        <f t="shared" si="21"/>
        <v>109108.77026594595</v>
      </c>
      <c r="I260" s="452"/>
      <c r="J260" s="285" t="s">
        <v>107</v>
      </c>
    </row>
    <row r="261" spans="1:11" hidden="1">
      <c r="A261" s="454" t="s">
        <v>31</v>
      </c>
      <c r="B261" s="451" t="s">
        <v>32</v>
      </c>
      <c r="C261" s="278" t="s">
        <v>216</v>
      </c>
      <c r="D261" s="279">
        <v>8313.4349999999995</v>
      </c>
      <c r="E261" s="279">
        <f t="shared" si="19"/>
        <v>29.928365999999997</v>
      </c>
      <c r="F261" s="279">
        <f t="shared" si="20"/>
        <v>789.87505938242271</v>
      </c>
      <c r="G261" s="279">
        <v>2.0373000000000001</v>
      </c>
      <c r="H261" s="279">
        <f t="shared" ref="H261:H265" si="22">G261*D261</f>
        <v>16936.961125499998</v>
      </c>
      <c r="I261" s="451">
        <f>SUM(H261:H265)</f>
        <v>92762.433241200008</v>
      </c>
      <c r="J261" s="280" t="s">
        <v>108</v>
      </c>
    </row>
    <row r="262" spans="1:11" hidden="1">
      <c r="A262" s="454"/>
      <c r="B262" s="451"/>
      <c r="C262" s="278" t="s">
        <v>217</v>
      </c>
      <c r="D262" s="279">
        <v>5627.5560000000005</v>
      </c>
      <c r="E262" s="279">
        <f t="shared" si="19"/>
        <v>20.259201600000001</v>
      </c>
      <c r="F262" s="279">
        <f t="shared" si="20"/>
        <v>534.68465558194771</v>
      </c>
      <c r="G262" s="279">
        <v>2.0373000000000001</v>
      </c>
      <c r="H262" s="279">
        <f t="shared" si="22"/>
        <v>11465.019838800001</v>
      </c>
      <c r="I262" s="451"/>
      <c r="J262" s="280" t="s">
        <v>108</v>
      </c>
    </row>
    <row r="263" spans="1:11" hidden="1">
      <c r="A263" s="454"/>
      <c r="B263" s="451"/>
      <c r="C263" s="278" t="s">
        <v>218</v>
      </c>
      <c r="D263" s="279">
        <v>29416.77</v>
      </c>
      <c r="E263" s="279">
        <f t="shared" si="19"/>
        <v>105.900372</v>
      </c>
      <c r="F263" s="279">
        <f t="shared" si="20"/>
        <v>2794.9425178147267</v>
      </c>
      <c r="G263" s="279">
        <v>2.0373000000000001</v>
      </c>
      <c r="H263" s="279">
        <f t="shared" si="22"/>
        <v>59930.785521000005</v>
      </c>
      <c r="I263" s="451"/>
      <c r="J263" s="280" t="s">
        <v>108</v>
      </c>
      <c r="K263" s="105">
        <f>I261*0.000001</f>
        <v>9.276243324120001E-2</v>
      </c>
    </row>
    <row r="264" spans="1:11" hidden="1">
      <c r="A264" s="454"/>
      <c r="B264" s="451"/>
      <c r="C264" s="278" t="s">
        <v>219</v>
      </c>
      <c r="D264" s="279">
        <v>1023.192</v>
      </c>
      <c r="E264" s="279">
        <f t="shared" si="19"/>
        <v>3.6834911999999997</v>
      </c>
      <c r="F264" s="279">
        <f t="shared" si="20"/>
        <v>97.215391923990481</v>
      </c>
      <c r="G264" s="279">
        <v>2.0373000000000001</v>
      </c>
      <c r="H264" s="279">
        <f t="shared" si="22"/>
        <v>2084.5490616000002</v>
      </c>
      <c r="I264" s="451"/>
      <c r="J264" s="280" t="s">
        <v>108</v>
      </c>
    </row>
    <row r="265" spans="1:11" ht="13" hidden="1" thickBot="1">
      <c r="A265" s="455"/>
      <c r="B265" s="453"/>
      <c r="C265" s="324" t="s">
        <v>220</v>
      </c>
      <c r="D265" s="317">
        <v>1151.0910000000001</v>
      </c>
      <c r="E265" s="317">
        <f t="shared" si="19"/>
        <v>4.1439276000000005</v>
      </c>
      <c r="F265" s="317">
        <f t="shared" si="20"/>
        <v>109.36731591448932</v>
      </c>
      <c r="G265" s="317">
        <v>2.0373000000000001</v>
      </c>
      <c r="H265" s="317">
        <f t="shared" si="22"/>
        <v>2345.1176943000005</v>
      </c>
      <c r="I265" s="453"/>
      <c r="J265" s="318" t="s">
        <v>108</v>
      </c>
    </row>
    <row r="266" spans="1:11" ht="13" hidden="1" thickBot="1">
      <c r="D266" s="290"/>
    </row>
    <row r="267" spans="1:11" ht="13" customHeight="1">
      <c r="A267" s="446" t="s">
        <v>109</v>
      </c>
      <c r="B267" s="447"/>
      <c r="C267" s="448"/>
      <c r="D267" s="286">
        <f>SUM(E193:E265)</f>
        <v>4096.7456020559994</v>
      </c>
    </row>
    <row r="268" spans="1:11">
      <c r="A268" s="296" t="s">
        <v>110</v>
      </c>
      <c r="B268" s="297"/>
      <c r="C268" s="121"/>
      <c r="D268" s="287">
        <f>SUM(I193+I261)*0.000001</f>
        <v>0.40832629553125804</v>
      </c>
    </row>
    <row r="269" spans="1:11">
      <c r="A269" s="296" t="s">
        <v>111</v>
      </c>
      <c r="B269" s="297"/>
      <c r="C269" s="121"/>
      <c r="D269" s="287">
        <f>I248*0.000001</f>
        <v>22.463323574346788</v>
      </c>
    </row>
    <row r="270" spans="1:11" ht="13" thickBot="1">
      <c r="A270" s="294" t="s">
        <v>112</v>
      </c>
      <c r="B270" s="295"/>
      <c r="C270" s="246"/>
      <c r="D270" s="288">
        <f>I256*0.000001</f>
        <v>0.28257597110584215</v>
      </c>
    </row>
    <row r="271" spans="1:11" ht="13" thickBot="1">
      <c r="A271" s="239" t="s">
        <v>113</v>
      </c>
      <c r="B271" s="240"/>
      <c r="C271" s="247"/>
      <c r="D271" s="275">
        <f>SUM(D268:D270)</f>
        <v>23.154225840983887</v>
      </c>
    </row>
    <row r="274" spans="1:10" ht="13" thickBot="1">
      <c r="A274" s="456" t="s">
        <v>253</v>
      </c>
      <c r="B274" s="456"/>
      <c r="C274" s="456"/>
      <c r="D274" s="456"/>
    </row>
    <row r="275" spans="1:10" ht="14" hidden="1" thickBot="1">
      <c r="A275" s="241" t="s">
        <v>114</v>
      </c>
      <c r="B275" s="242" t="s">
        <v>115</v>
      </c>
      <c r="C275" s="242" t="s">
        <v>116</v>
      </c>
      <c r="D275" s="243" t="s">
        <v>117</v>
      </c>
      <c r="E275" s="244" t="s">
        <v>118</v>
      </c>
      <c r="F275" s="242" t="s">
        <v>119</v>
      </c>
      <c r="G275" s="242" t="s">
        <v>120</v>
      </c>
      <c r="H275" s="242" t="s">
        <v>121</v>
      </c>
      <c r="I275" s="242" t="s">
        <v>122</v>
      </c>
      <c r="J275" s="245" t="s">
        <v>123</v>
      </c>
    </row>
    <row r="276" spans="1:10" ht="13" hidden="1">
      <c r="A276" s="457" t="s">
        <v>92</v>
      </c>
      <c r="B276" s="458" t="s">
        <v>93</v>
      </c>
      <c r="C276" s="323" t="s">
        <v>221</v>
      </c>
      <c r="D276" s="323">
        <v>2757.424</v>
      </c>
      <c r="E276" s="276">
        <f t="shared" ref="E276:E339" si="23">D276*E$22</f>
        <v>9.9267263999999997</v>
      </c>
      <c r="F276" s="276">
        <f t="shared" ref="F276:F339" si="24">E276*E$25</f>
        <v>261.98802850356293</v>
      </c>
      <c r="G276" s="276">
        <v>2.0373000000000001</v>
      </c>
      <c r="H276" s="276">
        <f t="shared" ref="H276:H332" si="25">G276*D276</f>
        <v>5617.6999151999999</v>
      </c>
      <c r="I276" s="450">
        <f>SUM(H276:H332)</f>
        <v>1014479.1905448001</v>
      </c>
      <c r="J276" s="277" t="s">
        <v>131</v>
      </c>
    </row>
    <row r="277" spans="1:10" ht="13" hidden="1">
      <c r="A277" s="454"/>
      <c r="B277" s="451"/>
      <c r="C277" s="302" t="s">
        <v>222</v>
      </c>
      <c r="D277" s="302">
        <v>256.03199999999998</v>
      </c>
      <c r="E277" s="279">
        <f t="shared" si="23"/>
        <v>0.92171519999999996</v>
      </c>
      <c r="F277" s="279">
        <f t="shared" si="24"/>
        <v>24.32608076009501</v>
      </c>
      <c r="G277" s="279">
        <v>2.0373000000000001</v>
      </c>
      <c r="H277" s="279">
        <f t="shared" si="25"/>
        <v>521.61399359999996</v>
      </c>
      <c r="I277" s="451"/>
      <c r="J277" s="280" t="s">
        <v>131</v>
      </c>
    </row>
    <row r="278" spans="1:10" ht="13" hidden="1">
      <c r="A278" s="454"/>
      <c r="B278" s="451"/>
      <c r="C278" s="302" t="s">
        <v>339</v>
      </c>
      <c r="D278" s="302">
        <v>911.35199999999998</v>
      </c>
      <c r="E278" s="279">
        <f t="shared" si="23"/>
        <v>3.2808671999999999</v>
      </c>
      <c r="F278" s="279">
        <f t="shared" si="24"/>
        <v>86.589263657957233</v>
      </c>
      <c r="G278" s="279">
        <v>2.0373000000000001</v>
      </c>
      <c r="H278" s="279">
        <f t="shared" si="25"/>
        <v>1856.6974296000001</v>
      </c>
      <c r="I278" s="451"/>
      <c r="J278" s="280" t="s">
        <v>131</v>
      </c>
    </row>
    <row r="279" spans="1:10" ht="13" hidden="1">
      <c r="A279" s="454"/>
      <c r="B279" s="451"/>
      <c r="C279" s="302" t="s">
        <v>340</v>
      </c>
      <c r="D279" s="302">
        <v>350.52</v>
      </c>
      <c r="E279" s="279">
        <f t="shared" si="23"/>
        <v>1.2618719999999999</v>
      </c>
      <c r="F279" s="279">
        <f t="shared" si="24"/>
        <v>33.303562945368164</v>
      </c>
      <c r="G279" s="279">
        <v>2.0373000000000001</v>
      </c>
      <c r="H279" s="279">
        <f t="shared" si="25"/>
        <v>714.11439600000006</v>
      </c>
      <c r="I279" s="451"/>
      <c r="J279" s="280" t="s">
        <v>131</v>
      </c>
    </row>
    <row r="280" spans="1:10" ht="13" hidden="1">
      <c r="A280" s="454"/>
      <c r="B280" s="451"/>
      <c r="C280" s="302" t="s">
        <v>341</v>
      </c>
      <c r="D280" s="302">
        <v>350.52</v>
      </c>
      <c r="E280" s="279">
        <f t="shared" si="23"/>
        <v>1.2618719999999999</v>
      </c>
      <c r="F280" s="279">
        <f t="shared" si="24"/>
        <v>33.303562945368164</v>
      </c>
      <c r="G280" s="279">
        <v>2.0373000000000001</v>
      </c>
      <c r="H280" s="279">
        <f t="shared" si="25"/>
        <v>714.11439600000006</v>
      </c>
      <c r="I280" s="451"/>
      <c r="J280" s="280" t="s">
        <v>131</v>
      </c>
    </row>
    <row r="281" spans="1:10" ht="13" hidden="1">
      <c r="A281" s="454"/>
      <c r="B281" s="451"/>
      <c r="C281" s="302" t="s">
        <v>342</v>
      </c>
      <c r="D281" s="302">
        <v>3606.7999999999997</v>
      </c>
      <c r="E281" s="279">
        <f t="shared" si="23"/>
        <v>12.984479999999998</v>
      </c>
      <c r="F281" s="279">
        <f t="shared" si="24"/>
        <v>342.68883610451297</v>
      </c>
      <c r="G281" s="279">
        <v>2.0373000000000001</v>
      </c>
      <c r="H281" s="279">
        <f t="shared" si="25"/>
        <v>7348.13364</v>
      </c>
      <c r="I281" s="451"/>
      <c r="J281" s="280" t="s">
        <v>131</v>
      </c>
    </row>
    <row r="282" spans="1:10" ht="13" hidden="1">
      <c r="A282" s="454"/>
      <c r="B282" s="451"/>
      <c r="C282" s="302" t="s">
        <v>343</v>
      </c>
      <c r="D282" s="302">
        <v>1191.768</v>
      </c>
      <c r="E282" s="279">
        <f t="shared" si="23"/>
        <v>4.2903647999999999</v>
      </c>
      <c r="F282" s="279">
        <f t="shared" si="24"/>
        <v>113.23211401425178</v>
      </c>
      <c r="G282" s="279">
        <v>2.0373000000000001</v>
      </c>
      <c r="H282" s="279">
        <f t="shared" si="25"/>
        <v>2427.9889464000003</v>
      </c>
      <c r="I282" s="451"/>
      <c r="J282" s="280" t="s">
        <v>137</v>
      </c>
    </row>
    <row r="283" spans="1:10" ht="13" hidden="1">
      <c r="A283" s="454"/>
      <c r="B283" s="451"/>
      <c r="C283" s="302" t="s">
        <v>344</v>
      </c>
      <c r="D283" s="302">
        <v>5410.1999999999989</v>
      </c>
      <c r="E283" s="279">
        <f t="shared" si="23"/>
        <v>19.476719999999997</v>
      </c>
      <c r="F283" s="279">
        <f t="shared" si="24"/>
        <v>514.03325415676943</v>
      </c>
      <c r="G283" s="279">
        <v>2.0373000000000001</v>
      </c>
      <c r="H283" s="279">
        <f t="shared" si="25"/>
        <v>11022.200459999998</v>
      </c>
      <c r="I283" s="451"/>
      <c r="J283" s="280" t="s">
        <v>137</v>
      </c>
    </row>
    <row r="284" spans="1:10" ht="13" hidden="1">
      <c r="A284" s="454"/>
      <c r="B284" s="451"/>
      <c r="C284" s="302" t="s">
        <v>344</v>
      </c>
      <c r="D284" s="302">
        <v>5410.1999999999989</v>
      </c>
      <c r="E284" s="279">
        <f t="shared" si="23"/>
        <v>19.476719999999997</v>
      </c>
      <c r="F284" s="279">
        <f t="shared" si="24"/>
        <v>514.03325415676943</v>
      </c>
      <c r="G284" s="279">
        <v>2.0373000000000001</v>
      </c>
      <c r="H284" s="279">
        <f t="shared" si="25"/>
        <v>11022.200459999998</v>
      </c>
      <c r="I284" s="451"/>
      <c r="J284" s="280" t="s">
        <v>137</v>
      </c>
    </row>
    <row r="285" spans="1:10" ht="13" hidden="1">
      <c r="A285" s="454"/>
      <c r="B285" s="451"/>
      <c r="C285" s="302" t="s">
        <v>343</v>
      </c>
      <c r="D285" s="302">
        <v>280.416</v>
      </c>
      <c r="E285" s="279">
        <f t="shared" si="23"/>
        <v>1.0094976</v>
      </c>
      <c r="F285" s="279">
        <f t="shared" si="24"/>
        <v>26.642850356294534</v>
      </c>
      <c r="G285" s="279">
        <v>2.0373000000000001</v>
      </c>
      <c r="H285" s="279">
        <f t="shared" si="25"/>
        <v>571.29151680000007</v>
      </c>
      <c r="I285" s="451"/>
      <c r="J285" s="280" t="s">
        <v>137</v>
      </c>
    </row>
    <row r="286" spans="1:10" ht="13" hidden="1">
      <c r="A286" s="454"/>
      <c r="B286" s="451"/>
      <c r="C286" s="302" t="s">
        <v>345</v>
      </c>
      <c r="D286" s="302">
        <v>508</v>
      </c>
      <c r="E286" s="279">
        <f t="shared" si="23"/>
        <v>1.8288</v>
      </c>
      <c r="F286" s="279">
        <f t="shared" si="24"/>
        <v>48.266033254156767</v>
      </c>
      <c r="G286" s="279">
        <v>2.0373000000000001</v>
      </c>
      <c r="H286" s="279">
        <f t="shared" si="25"/>
        <v>1034.9484</v>
      </c>
      <c r="I286" s="451"/>
      <c r="J286" s="280" t="s">
        <v>137</v>
      </c>
    </row>
    <row r="287" spans="1:10" ht="13" hidden="1">
      <c r="A287" s="454"/>
      <c r="B287" s="451"/>
      <c r="C287" s="302" t="s">
        <v>347</v>
      </c>
      <c r="D287" s="302">
        <v>32604.455999999995</v>
      </c>
      <c r="E287" s="279">
        <f t="shared" si="23"/>
        <v>117.37604159999998</v>
      </c>
      <c r="F287" s="279">
        <f t="shared" si="24"/>
        <v>3097.8105463182892</v>
      </c>
      <c r="G287" s="279">
        <v>2.0373000000000001</v>
      </c>
      <c r="H287" s="279">
        <f t="shared" si="25"/>
        <v>66425.058208799994</v>
      </c>
      <c r="I287" s="451"/>
      <c r="J287" s="280" t="s">
        <v>137</v>
      </c>
    </row>
    <row r="288" spans="1:10" ht="13" hidden="1">
      <c r="A288" s="454"/>
      <c r="B288" s="451"/>
      <c r="C288" s="302" t="s">
        <v>348</v>
      </c>
      <c r="D288" s="302">
        <v>1219.2</v>
      </c>
      <c r="E288" s="279">
        <f t="shared" si="23"/>
        <v>4.3891200000000001</v>
      </c>
      <c r="F288" s="279">
        <f t="shared" si="24"/>
        <v>115.83847980997625</v>
      </c>
      <c r="G288" s="279">
        <v>2.0373000000000001</v>
      </c>
      <c r="H288" s="279">
        <f t="shared" si="25"/>
        <v>2483.8761600000003</v>
      </c>
      <c r="I288" s="451"/>
      <c r="J288" s="280" t="s">
        <v>137</v>
      </c>
    </row>
    <row r="289" spans="1:10" ht="13" hidden="1">
      <c r="A289" s="454"/>
      <c r="B289" s="451"/>
      <c r="C289" s="302" t="s">
        <v>349</v>
      </c>
      <c r="D289" s="302">
        <v>7315.2</v>
      </c>
      <c r="E289" s="279">
        <f t="shared" si="23"/>
        <v>26.334719999999997</v>
      </c>
      <c r="F289" s="279">
        <f t="shared" si="24"/>
        <v>695.03087885985735</v>
      </c>
      <c r="G289" s="279">
        <v>2.0373000000000001</v>
      </c>
      <c r="H289" s="279">
        <f t="shared" si="25"/>
        <v>14903.256960000001</v>
      </c>
      <c r="I289" s="451"/>
      <c r="J289" s="280" t="s">
        <v>137</v>
      </c>
    </row>
    <row r="290" spans="1:10" ht="13" hidden="1">
      <c r="A290" s="454"/>
      <c r="B290" s="451"/>
      <c r="C290" s="302" t="s">
        <v>452</v>
      </c>
      <c r="D290" s="302">
        <v>1124.712</v>
      </c>
      <c r="E290" s="279">
        <f t="shared" si="23"/>
        <v>4.0489632000000002</v>
      </c>
      <c r="F290" s="279">
        <f t="shared" si="24"/>
        <v>106.86099762470309</v>
      </c>
      <c r="G290" s="279">
        <v>2.0373000000000001</v>
      </c>
      <c r="H290" s="279">
        <f t="shared" si="25"/>
        <v>2291.3757576000003</v>
      </c>
      <c r="I290" s="451"/>
      <c r="J290" s="280" t="s">
        <v>139</v>
      </c>
    </row>
    <row r="291" spans="1:10" ht="13" hidden="1">
      <c r="A291" s="454"/>
      <c r="B291" s="451"/>
      <c r="C291" s="302" t="s">
        <v>350</v>
      </c>
      <c r="D291" s="302">
        <v>1371.6000000000001</v>
      </c>
      <c r="E291" s="279">
        <f t="shared" si="23"/>
        <v>4.9377599999999999</v>
      </c>
      <c r="F291" s="279">
        <f t="shared" si="24"/>
        <v>130.31828978622326</v>
      </c>
      <c r="G291" s="279">
        <v>2.0373000000000001</v>
      </c>
      <c r="H291" s="279">
        <f t="shared" si="25"/>
        <v>2794.3606800000002</v>
      </c>
      <c r="I291" s="451"/>
      <c r="J291" s="280" t="s">
        <v>139</v>
      </c>
    </row>
    <row r="292" spans="1:10" ht="13" hidden="1">
      <c r="A292" s="454"/>
      <c r="B292" s="451"/>
      <c r="C292" s="302" t="s">
        <v>493</v>
      </c>
      <c r="D292" s="302">
        <v>1473.2</v>
      </c>
      <c r="E292" s="279">
        <f t="shared" si="23"/>
        <v>5.3035199999999998</v>
      </c>
      <c r="F292" s="279">
        <f t="shared" si="24"/>
        <v>139.97149643705461</v>
      </c>
      <c r="G292" s="279">
        <v>2.0373000000000001</v>
      </c>
      <c r="H292" s="279">
        <f t="shared" si="25"/>
        <v>3001.3503600000004</v>
      </c>
      <c r="I292" s="451"/>
      <c r="J292" s="280" t="s">
        <v>139</v>
      </c>
    </row>
    <row r="293" spans="1:10" ht="13" hidden="1">
      <c r="A293" s="454"/>
      <c r="B293" s="451"/>
      <c r="C293" s="302" t="s">
        <v>480</v>
      </c>
      <c r="D293" s="302">
        <v>1168.4000000000001</v>
      </c>
      <c r="E293" s="279">
        <f t="shared" si="23"/>
        <v>4.2062400000000002</v>
      </c>
      <c r="F293" s="279">
        <f t="shared" si="24"/>
        <v>111.01187648456057</v>
      </c>
      <c r="G293" s="279">
        <v>2.0373000000000001</v>
      </c>
      <c r="H293" s="279">
        <f t="shared" si="25"/>
        <v>2380.3813200000004</v>
      </c>
      <c r="I293" s="451"/>
      <c r="J293" s="280" t="s">
        <v>139</v>
      </c>
    </row>
    <row r="294" spans="1:10" ht="13" hidden="1">
      <c r="A294" s="454"/>
      <c r="B294" s="451"/>
      <c r="C294" s="302" t="s">
        <v>480</v>
      </c>
      <c r="D294" s="302">
        <v>1168.4000000000001</v>
      </c>
      <c r="E294" s="279">
        <f t="shared" si="23"/>
        <v>4.2062400000000002</v>
      </c>
      <c r="F294" s="279">
        <f t="shared" si="24"/>
        <v>111.01187648456057</v>
      </c>
      <c r="G294" s="279">
        <v>2.0373000000000001</v>
      </c>
      <c r="H294" s="279">
        <f t="shared" si="25"/>
        <v>2380.3813200000004</v>
      </c>
      <c r="I294" s="451"/>
      <c r="J294" s="280" t="s">
        <v>139</v>
      </c>
    </row>
    <row r="295" spans="1:10" ht="13" hidden="1">
      <c r="A295" s="454"/>
      <c r="B295" s="451"/>
      <c r="C295" s="302" t="s">
        <v>480</v>
      </c>
      <c r="D295" s="302">
        <v>1168.4000000000001</v>
      </c>
      <c r="E295" s="279">
        <f t="shared" si="23"/>
        <v>4.2062400000000002</v>
      </c>
      <c r="F295" s="279">
        <f t="shared" si="24"/>
        <v>111.01187648456057</v>
      </c>
      <c r="G295" s="279">
        <v>2.0373000000000001</v>
      </c>
      <c r="H295" s="279">
        <f t="shared" si="25"/>
        <v>2380.3813200000004</v>
      </c>
      <c r="I295" s="451"/>
      <c r="J295" s="280" t="s">
        <v>139</v>
      </c>
    </row>
    <row r="296" spans="1:10" ht="13" hidden="1">
      <c r="A296" s="454"/>
      <c r="B296" s="451"/>
      <c r="C296" s="302" t="s">
        <v>481</v>
      </c>
      <c r="D296" s="302">
        <v>32766</v>
      </c>
      <c r="E296" s="279">
        <f t="shared" si="23"/>
        <v>117.9576</v>
      </c>
      <c r="F296" s="279">
        <f t="shared" si="24"/>
        <v>3113.1591448931113</v>
      </c>
      <c r="G296" s="279">
        <v>2.0373000000000001</v>
      </c>
      <c r="H296" s="279">
        <f t="shared" si="25"/>
        <v>66754.171799999996</v>
      </c>
      <c r="I296" s="451"/>
      <c r="J296" s="280" t="s">
        <v>132</v>
      </c>
    </row>
    <row r="297" spans="1:10" ht="13" hidden="1">
      <c r="A297" s="454"/>
      <c r="B297" s="451"/>
      <c r="C297" s="302" t="s">
        <v>481</v>
      </c>
      <c r="D297" s="302">
        <v>32766</v>
      </c>
      <c r="E297" s="279">
        <f t="shared" si="23"/>
        <v>117.9576</v>
      </c>
      <c r="F297" s="279">
        <f t="shared" si="24"/>
        <v>3113.1591448931113</v>
      </c>
      <c r="G297" s="279">
        <v>2.0373000000000001</v>
      </c>
      <c r="H297" s="279">
        <f t="shared" si="25"/>
        <v>66754.171799999996</v>
      </c>
      <c r="I297" s="451"/>
      <c r="J297" s="280" t="s">
        <v>132</v>
      </c>
    </row>
    <row r="298" spans="1:10" ht="13" hidden="1">
      <c r="A298" s="454"/>
      <c r="B298" s="451"/>
      <c r="C298" s="302" t="s">
        <v>434</v>
      </c>
      <c r="D298" s="120">
        <v>3657.6</v>
      </c>
      <c r="E298" s="279">
        <f t="shared" si="23"/>
        <v>13.167359999999999</v>
      </c>
      <c r="F298" s="279">
        <f t="shared" si="24"/>
        <v>347.51543942992868</v>
      </c>
      <c r="G298" s="279">
        <v>2.0373000000000001</v>
      </c>
      <c r="H298" s="279">
        <f t="shared" si="25"/>
        <v>7451.6284800000003</v>
      </c>
      <c r="I298" s="451"/>
      <c r="J298" s="280" t="s">
        <v>132</v>
      </c>
    </row>
    <row r="299" spans="1:10" ht="13" hidden="1">
      <c r="A299" s="454"/>
      <c r="B299" s="451"/>
      <c r="C299" s="302" t="s">
        <v>435</v>
      </c>
      <c r="D299" s="120">
        <v>2682.2400000000002</v>
      </c>
      <c r="E299" s="279">
        <f t="shared" si="23"/>
        <v>9.6560640000000006</v>
      </c>
      <c r="F299" s="279">
        <f t="shared" si="24"/>
        <v>254.84465558194773</v>
      </c>
      <c r="G299" s="279">
        <v>2.0373000000000001</v>
      </c>
      <c r="H299" s="279">
        <f t="shared" si="25"/>
        <v>5464.5275520000005</v>
      </c>
      <c r="I299" s="451"/>
      <c r="J299" s="280" t="s">
        <v>124</v>
      </c>
    </row>
    <row r="300" spans="1:10" ht="13" hidden="1">
      <c r="A300" s="454"/>
      <c r="B300" s="451"/>
      <c r="C300" s="302" t="s">
        <v>451</v>
      </c>
      <c r="D300" s="120">
        <v>2009.6479999999999</v>
      </c>
      <c r="E300" s="279">
        <f t="shared" si="23"/>
        <v>7.2347327999999997</v>
      </c>
      <c r="F300" s="279">
        <f t="shared" si="24"/>
        <v>190.94042755344415</v>
      </c>
      <c r="G300" s="279">
        <v>2.0373000000000001</v>
      </c>
      <c r="H300" s="279">
        <f t="shared" si="25"/>
        <v>4094.2558703999998</v>
      </c>
      <c r="I300" s="451"/>
      <c r="J300" s="280" t="s">
        <v>137</v>
      </c>
    </row>
    <row r="301" spans="1:10" ht="13" hidden="1">
      <c r="A301" s="454"/>
      <c r="B301" s="451"/>
      <c r="C301" s="302" t="s">
        <v>436</v>
      </c>
      <c r="D301" s="120">
        <v>27432</v>
      </c>
      <c r="E301" s="279">
        <f t="shared" si="23"/>
        <v>98.755200000000002</v>
      </c>
      <c r="F301" s="279">
        <f t="shared" si="24"/>
        <v>2606.3657957244654</v>
      </c>
      <c r="G301" s="279">
        <v>2.0373000000000001</v>
      </c>
      <c r="H301" s="279">
        <f t="shared" si="25"/>
        <v>55887.213600000003</v>
      </c>
      <c r="I301" s="451"/>
      <c r="J301" s="280" t="s">
        <v>137</v>
      </c>
    </row>
    <row r="302" spans="1:10" ht="13" hidden="1">
      <c r="A302" s="454"/>
      <c r="B302" s="451"/>
      <c r="C302" s="302" t="s">
        <v>437</v>
      </c>
      <c r="D302" s="120">
        <v>50084.73599999999</v>
      </c>
      <c r="E302" s="279">
        <f t="shared" si="23"/>
        <v>180.30504959999996</v>
      </c>
      <c r="F302" s="279">
        <f t="shared" si="24"/>
        <v>4758.6447505938231</v>
      </c>
      <c r="G302" s="279">
        <v>2.0373000000000001</v>
      </c>
      <c r="H302" s="279">
        <f t="shared" si="25"/>
        <v>102037.63265279999</v>
      </c>
      <c r="I302" s="451"/>
      <c r="J302" s="280" t="s">
        <v>137</v>
      </c>
    </row>
    <row r="303" spans="1:10" ht="13" hidden="1">
      <c r="A303" s="454"/>
      <c r="B303" s="451"/>
      <c r="C303" s="302" t="s">
        <v>347</v>
      </c>
      <c r="D303" s="302">
        <v>31264.86</v>
      </c>
      <c r="E303" s="279">
        <f t="shared" si="23"/>
        <v>112.553496</v>
      </c>
      <c r="F303" s="279">
        <f t="shared" si="24"/>
        <v>2970.5330166270783</v>
      </c>
      <c r="G303" s="279">
        <v>2.0373000000000001</v>
      </c>
      <c r="H303" s="279">
        <f t="shared" si="25"/>
        <v>63695.899278000004</v>
      </c>
      <c r="I303" s="451"/>
      <c r="J303" s="280" t="s">
        <v>137</v>
      </c>
    </row>
    <row r="304" spans="1:10" ht="13" hidden="1">
      <c r="A304" s="454"/>
      <c r="B304" s="451"/>
      <c r="C304" s="302" t="s">
        <v>580</v>
      </c>
      <c r="D304" s="302">
        <v>32766</v>
      </c>
      <c r="E304" s="279">
        <f t="shared" si="23"/>
        <v>117.9576</v>
      </c>
      <c r="F304" s="279">
        <f t="shared" si="24"/>
        <v>3113.1591448931113</v>
      </c>
      <c r="G304" s="279">
        <v>2.0373000000000001</v>
      </c>
      <c r="H304" s="279">
        <f t="shared" si="25"/>
        <v>66754.171799999996</v>
      </c>
      <c r="I304" s="451"/>
      <c r="J304" s="280" t="s">
        <v>137</v>
      </c>
    </row>
    <row r="305" spans="1:11" ht="13" hidden="1">
      <c r="A305" s="454"/>
      <c r="B305" s="451"/>
      <c r="C305" s="302" t="s">
        <v>580</v>
      </c>
      <c r="D305" s="302">
        <v>32766</v>
      </c>
      <c r="E305" s="279">
        <f t="shared" si="23"/>
        <v>117.9576</v>
      </c>
      <c r="F305" s="279">
        <f t="shared" si="24"/>
        <v>3113.1591448931113</v>
      </c>
      <c r="G305" s="279">
        <v>2.0373000000000001</v>
      </c>
      <c r="H305" s="279">
        <f t="shared" si="25"/>
        <v>66754.171799999996</v>
      </c>
      <c r="I305" s="451"/>
      <c r="J305" s="280" t="s">
        <v>137</v>
      </c>
    </row>
    <row r="306" spans="1:11" ht="13" hidden="1">
      <c r="A306" s="454"/>
      <c r="B306" s="451"/>
      <c r="C306" s="302" t="s">
        <v>580</v>
      </c>
      <c r="D306" s="302">
        <v>32766</v>
      </c>
      <c r="E306" s="279">
        <f t="shared" si="23"/>
        <v>117.9576</v>
      </c>
      <c r="F306" s="279">
        <f t="shared" si="24"/>
        <v>3113.1591448931113</v>
      </c>
      <c r="G306" s="279">
        <v>2.0373000000000001</v>
      </c>
      <c r="H306" s="279">
        <f t="shared" si="25"/>
        <v>66754.171799999996</v>
      </c>
      <c r="I306" s="451"/>
      <c r="J306" s="280" t="s">
        <v>137</v>
      </c>
    </row>
    <row r="307" spans="1:11" ht="13" hidden="1">
      <c r="A307" s="454"/>
      <c r="B307" s="451"/>
      <c r="C307" s="302" t="s">
        <v>581</v>
      </c>
      <c r="D307" s="302">
        <v>13390.88</v>
      </c>
      <c r="E307" s="279">
        <f t="shared" si="23"/>
        <v>48.207167999999996</v>
      </c>
      <c r="F307" s="279">
        <f t="shared" si="24"/>
        <v>1272.2926365795722</v>
      </c>
      <c r="G307" s="279">
        <v>2.0373000000000001</v>
      </c>
      <c r="H307" s="279">
        <f t="shared" si="25"/>
        <v>27281.239824</v>
      </c>
      <c r="I307" s="451"/>
      <c r="J307" s="280" t="s">
        <v>68</v>
      </c>
    </row>
    <row r="308" spans="1:11" ht="13" hidden="1">
      <c r="A308" s="454"/>
      <c r="B308" s="451"/>
      <c r="C308" s="302" t="s">
        <v>125</v>
      </c>
      <c r="D308" s="302">
        <v>5608.32</v>
      </c>
      <c r="E308" s="279">
        <f t="shared" si="23"/>
        <v>20.189951999999998</v>
      </c>
      <c r="F308" s="279">
        <f t="shared" si="24"/>
        <v>532.85700712589062</v>
      </c>
      <c r="G308" s="279">
        <v>2.0373000000000001</v>
      </c>
      <c r="H308" s="279">
        <f t="shared" si="25"/>
        <v>11425.830336000001</v>
      </c>
      <c r="I308" s="451"/>
      <c r="J308" s="280" t="s">
        <v>68</v>
      </c>
    </row>
    <row r="309" spans="1:11" ht="13" hidden="1">
      <c r="A309" s="454"/>
      <c r="B309" s="451"/>
      <c r="C309" s="302" t="s">
        <v>125</v>
      </c>
      <c r="D309" s="302">
        <v>5608.32</v>
      </c>
      <c r="E309" s="279">
        <f t="shared" si="23"/>
        <v>20.189951999999998</v>
      </c>
      <c r="F309" s="279">
        <f t="shared" si="24"/>
        <v>532.85700712589062</v>
      </c>
      <c r="G309" s="279">
        <v>2.0373000000000001</v>
      </c>
      <c r="H309" s="279">
        <f t="shared" si="25"/>
        <v>11425.830336000001</v>
      </c>
      <c r="I309" s="451"/>
      <c r="J309" s="280" t="s">
        <v>68</v>
      </c>
    </row>
    <row r="310" spans="1:11" ht="13" hidden="1">
      <c r="A310" s="454"/>
      <c r="B310" s="451"/>
      <c r="C310" s="302" t="s">
        <v>125</v>
      </c>
      <c r="D310" s="304">
        <v>2991.1039999999998</v>
      </c>
      <c r="E310" s="279">
        <f t="shared" si="23"/>
        <v>10.767974399999998</v>
      </c>
      <c r="F310" s="279">
        <f t="shared" si="24"/>
        <v>284.190403800475</v>
      </c>
      <c r="G310" s="279">
        <v>2.0373000000000001</v>
      </c>
      <c r="H310" s="279">
        <f t="shared" si="25"/>
        <v>6093.7761792000001</v>
      </c>
      <c r="I310" s="451"/>
      <c r="J310" s="280" t="s">
        <v>68</v>
      </c>
    </row>
    <row r="311" spans="1:11" ht="13" hidden="1">
      <c r="A311" s="454"/>
      <c r="B311" s="451"/>
      <c r="C311" s="302" t="s">
        <v>125</v>
      </c>
      <c r="D311" s="304">
        <v>5071.8720000000003</v>
      </c>
      <c r="E311" s="279">
        <f t="shared" si="23"/>
        <v>18.258739200000001</v>
      </c>
      <c r="F311" s="279">
        <f t="shared" si="24"/>
        <v>481.88807600950116</v>
      </c>
      <c r="G311" s="279">
        <v>2.0373000000000001</v>
      </c>
      <c r="H311" s="279">
        <f t="shared" si="25"/>
        <v>10332.924825600001</v>
      </c>
      <c r="I311" s="451"/>
      <c r="J311" s="280" t="s">
        <v>68</v>
      </c>
    </row>
    <row r="312" spans="1:11" ht="13" hidden="1">
      <c r="A312" s="454"/>
      <c r="B312" s="451"/>
      <c r="C312" s="302" t="s">
        <v>125</v>
      </c>
      <c r="D312" s="304">
        <v>2194.56</v>
      </c>
      <c r="E312" s="279">
        <f t="shared" si="23"/>
        <v>7.9004159999999999</v>
      </c>
      <c r="F312" s="279">
        <f t="shared" si="24"/>
        <v>208.50926365795723</v>
      </c>
      <c r="G312" s="279">
        <v>2.0373000000000001</v>
      </c>
      <c r="H312" s="279">
        <f t="shared" si="25"/>
        <v>4470.9770880000005</v>
      </c>
      <c r="I312" s="451"/>
      <c r="J312" s="280" t="s">
        <v>68</v>
      </c>
    </row>
    <row r="313" spans="1:11" ht="13" hidden="1">
      <c r="A313" s="454"/>
      <c r="B313" s="451"/>
      <c r="C313" s="302" t="s">
        <v>125</v>
      </c>
      <c r="D313" s="304">
        <v>1869.44</v>
      </c>
      <c r="E313" s="279">
        <f t="shared" si="23"/>
        <v>6.729984</v>
      </c>
      <c r="F313" s="279">
        <f t="shared" si="24"/>
        <v>177.6190023752969</v>
      </c>
      <c r="G313" s="279">
        <v>2.0373000000000001</v>
      </c>
      <c r="H313" s="279">
        <f t="shared" si="25"/>
        <v>3808.6101120000003</v>
      </c>
      <c r="I313" s="451"/>
      <c r="J313" s="280" t="s">
        <v>68</v>
      </c>
    </row>
    <row r="314" spans="1:11" ht="13" hidden="1">
      <c r="A314" s="454"/>
      <c r="B314" s="451"/>
      <c r="C314" s="302" t="s">
        <v>125</v>
      </c>
      <c r="D314" s="304">
        <v>390.14400000000001</v>
      </c>
      <c r="E314" s="279">
        <f t="shared" si="23"/>
        <v>1.4045183999999999</v>
      </c>
      <c r="F314" s="279">
        <f t="shared" si="24"/>
        <v>37.068313539192395</v>
      </c>
      <c r="G314" s="279">
        <v>2.0373000000000001</v>
      </c>
      <c r="H314" s="279">
        <f t="shared" si="25"/>
        <v>794.84037120000005</v>
      </c>
      <c r="I314" s="451"/>
      <c r="J314" s="280" t="s">
        <v>68</v>
      </c>
    </row>
    <row r="315" spans="1:11" ht="13" hidden="1">
      <c r="A315" s="454"/>
      <c r="B315" s="451"/>
      <c r="C315" s="302" t="s">
        <v>125</v>
      </c>
      <c r="D315" s="304">
        <v>1869.44</v>
      </c>
      <c r="E315" s="279">
        <f t="shared" si="23"/>
        <v>6.729984</v>
      </c>
      <c r="F315" s="279">
        <f t="shared" si="24"/>
        <v>177.6190023752969</v>
      </c>
      <c r="G315" s="279">
        <v>2.0373000000000001</v>
      </c>
      <c r="H315" s="279">
        <f t="shared" si="25"/>
        <v>3808.6101120000003</v>
      </c>
      <c r="I315" s="451"/>
      <c r="J315" s="280" t="s">
        <v>68</v>
      </c>
    </row>
    <row r="316" spans="1:11" ht="13" hidden="1">
      <c r="A316" s="454"/>
      <c r="B316" s="451"/>
      <c r="C316" s="302" t="s">
        <v>125</v>
      </c>
      <c r="D316" s="120">
        <v>3505.2000000000003</v>
      </c>
      <c r="E316" s="279">
        <f t="shared" si="23"/>
        <v>12.618720000000001</v>
      </c>
      <c r="F316" s="279">
        <f t="shared" si="24"/>
        <v>333.03562945368174</v>
      </c>
      <c r="G316" s="279">
        <v>2.0373000000000001</v>
      </c>
      <c r="H316" s="279">
        <f t="shared" si="25"/>
        <v>7141.1439600000012</v>
      </c>
      <c r="I316" s="451"/>
      <c r="J316" s="280" t="s">
        <v>68</v>
      </c>
    </row>
    <row r="317" spans="1:11" ht="13" hidden="1">
      <c r="A317" s="454"/>
      <c r="B317" s="451"/>
      <c r="C317" s="302" t="s">
        <v>125</v>
      </c>
      <c r="D317" s="120">
        <v>2219.96</v>
      </c>
      <c r="E317" s="279">
        <f t="shared" si="23"/>
        <v>7.9918560000000003</v>
      </c>
      <c r="F317" s="279">
        <f t="shared" si="24"/>
        <v>210.92256532066509</v>
      </c>
      <c r="G317" s="279">
        <v>2.0373000000000001</v>
      </c>
      <c r="H317" s="279">
        <f t="shared" si="25"/>
        <v>4522.7245080000002</v>
      </c>
      <c r="I317" s="451"/>
      <c r="J317" s="280" t="s">
        <v>68</v>
      </c>
    </row>
    <row r="318" spans="1:11" ht="13" hidden="1">
      <c r="A318" s="454"/>
      <c r="B318" s="451"/>
      <c r="C318" s="302" t="s">
        <v>125</v>
      </c>
      <c r="D318" s="120">
        <v>2009.6479999999999</v>
      </c>
      <c r="E318" s="279">
        <f t="shared" si="23"/>
        <v>7.2347327999999997</v>
      </c>
      <c r="F318" s="279">
        <f t="shared" si="24"/>
        <v>190.94042755344415</v>
      </c>
      <c r="G318" s="279">
        <v>2.0373000000000001</v>
      </c>
      <c r="H318" s="279">
        <f t="shared" si="25"/>
        <v>4094.2558703999998</v>
      </c>
      <c r="I318" s="451"/>
      <c r="J318" s="280" t="s">
        <v>68</v>
      </c>
    </row>
    <row r="319" spans="1:11" ht="13" hidden="1">
      <c r="A319" s="454"/>
      <c r="B319" s="451"/>
      <c r="C319" s="302" t="s">
        <v>126</v>
      </c>
      <c r="D319" s="120">
        <v>1148.08</v>
      </c>
      <c r="E319" s="279">
        <f t="shared" si="23"/>
        <v>4.1330879999999999</v>
      </c>
      <c r="F319" s="279">
        <f t="shared" si="24"/>
        <v>109.08123515439429</v>
      </c>
      <c r="G319" s="279">
        <v>2.0373000000000001</v>
      </c>
      <c r="H319" s="279">
        <f t="shared" si="25"/>
        <v>2338.9833840000001</v>
      </c>
      <c r="I319" s="451"/>
      <c r="J319" s="280" t="s">
        <v>68</v>
      </c>
    </row>
    <row r="320" spans="1:11" ht="13" hidden="1">
      <c r="A320" s="454"/>
      <c r="B320" s="451"/>
      <c r="C320" s="302" t="s">
        <v>126</v>
      </c>
      <c r="D320" s="120">
        <v>1148.08</v>
      </c>
      <c r="E320" s="279">
        <f t="shared" si="23"/>
        <v>4.1330879999999999</v>
      </c>
      <c r="F320" s="279">
        <f t="shared" si="24"/>
        <v>109.08123515439429</v>
      </c>
      <c r="G320" s="279">
        <v>2.0373000000000001</v>
      </c>
      <c r="H320" s="279">
        <f t="shared" si="25"/>
        <v>2338.9833840000001</v>
      </c>
      <c r="I320" s="451"/>
      <c r="J320" s="280" t="s">
        <v>68</v>
      </c>
      <c r="K320" s="292">
        <f>SUM(I276+I333+I348)</f>
        <v>69691992.451314151</v>
      </c>
    </row>
    <row r="321" spans="1:11" ht="13" hidden="1">
      <c r="A321" s="454"/>
      <c r="B321" s="451"/>
      <c r="C321" s="302" t="s">
        <v>126</v>
      </c>
      <c r="D321" s="120">
        <v>1117.6000000000001</v>
      </c>
      <c r="E321" s="279">
        <f t="shared" si="23"/>
        <v>4.0233600000000003</v>
      </c>
      <c r="F321" s="279">
        <f t="shared" si="24"/>
        <v>106.1852731591449</v>
      </c>
      <c r="G321" s="279">
        <v>2.0373000000000001</v>
      </c>
      <c r="H321" s="279">
        <f t="shared" si="25"/>
        <v>2276.8864800000006</v>
      </c>
      <c r="I321" s="451"/>
      <c r="J321" s="280" t="s">
        <v>68</v>
      </c>
      <c r="K321" s="105">
        <f>K320*0.000001</f>
        <v>69.69199245131415</v>
      </c>
    </row>
    <row r="322" spans="1:11" ht="13" hidden="1">
      <c r="A322" s="454"/>
      <c r="B322" s="451"/>
      <c r="C322" s="302" t="s">
        <v>125</v>
      </c>
      <c r="D322" s="120">
        <v>1892.808</v>
      </c>
      <c r="E322" s="279">
        <f t="shared" si="23"/>
        <v>6.8141087999999996</v>
      </c>
      <c r="F322" s="279">
        <f t="shared" si="24"/>
        <v>179.83923990498809</v>
      </c>
      <c r="G322" s="279">
        <v>2.0373000000000001</v>
      </c>
      <c r="H322" s="279">
        <f t="shared" si="25"/>
        <v>3856.2177384000001</v>
      </c>
      <c r="I322" s="451"/>
      <c r="J322" s="280" t="s">
        <v>68</v>
      </c>
    </row>
    <row r="323" spans="1:11" ht="13" hidden="1">
      <c r="A323" s="454"/>
      <c r="B323" s="451"/>
      <c r="C323" s="302" t="s">
        <v>125</v>
      </c>
      <c r="D323" s="120">
        <v>4145.28</v>
      </c>
      <c r="E323" s="279">
        <f t="shared" si="23"/>
        <v>14.923007999999999</v>
      </c>
      <c r="F323" s="279">
        <f t="shared" si="24"/>
        <v>393.8508313539192</v>
      </c>
      <c r="G323" s="279">
        <v>2.0373000000000001</v>
      </c>
      <c r="H323" s="279">
        <f t="shared" si="25"/>
        <v>8445.1789439999993</v>
      </c>
      <c r="I323" s="451"/>
      <c r="J323" s="280" t="s">
        <v>68</v>
      </c>
    </row>
    <row r="324" spans="1:11" ht="13" hidden="1">
      <c r="A324" s="454"/>
      <c r="B324" s="451"/>
      <c r="C324" s="302" t="s">
        <v>126</v>
      </c>
      <c r="D324" s="120">
        <v>1361.44</v>
      </c>
      <c r="E324" s="279">
        <f t="shared" si="23"/>
        <v>4.9011839999999998</v>
      </c>
      <c r="F324" s="279">
        <f t="shared" si="24"/>
        <v>129.35296912114012</v>
      </c>
      <c r="G324" s="279">
        <v>2.0373000000000001</v>
      </c>
      <c r="H324" s="279">
        <f t="shared" si="25"/>
        <v>2773.6617120000001</v>
      </c>
      <c r="I324" s="451"/>
      <c r="J324" s="280" t="s">
        <v>68</v>
      </c>
    </row>
    <row r="325" spans="1:11" ht="13" hidden="1">
      <c r="A325" s="454"/>
      <c r="B325" s="451"/>
      <c r="C325" s="302" t="s">
        <v>126</v>
      </c>
      <c r="D325" s="120">
        <v>1361.44</v>
      </c>
      <c r="E325" s="279">
        <f t="shared" si="23"/>
        <v>4.9011839999999998</v>
      </c>
      <c r="F325" s="279">
        <f t="shared" si="24"/>
        <v>129.35296912114012</v>
      </c>
      <c r="G325" s="279">
        <v>2.0373000000000001</v>
      </c>
      <c r="H325" s="279">
        <f t="shared" si="25"/>
        <v>2773.6617120000001</v>
      </c>
      <c r="I325" s="451"/>
      <c r="J325" s="280" t="s">
        <v>68</v>
      </c>
    </row>
    <row r="326" spans="1:11" ht="13" hidden="1">
      <c r="A326" s="454"/>
      <c r="B326" s="451"/>
      <c r="C326" s="302" t="s">
        <v>127</v>
      </c>
      <c r="D326" s="120">
        <v>2072.64</v>
      </c>
      <c r="E326" s="279">
        <f t="shared" si="23"/>
        <v>7.4615039999999997</v>
      </c>
      <c r="F326" s="279">
        <f t="shared" si="24"/>
        <v>196.9254156769596</v>
      </c>
      <c r="G326" s="279">
        <v>2.0373000000000001</v>
      </c>
      <c r="H326" s="279">
        <f t="shared" si="25"/>
        <v>4222.5894719999997</v>
      </c>
      <c r="I326" s="451"/>
      <c r="J326" s="280" t="s">
        <v>68</v>
      </c>
    </row>
    <row r="327" spans="1:11" ht="13" hidden="1">
      <c r="A327" s="454"/>
      <c r="B327" s="451"/>
      <c r="C327" s="302" t="s">
        <v>125</v>
      </c>
      <c r="D327" s="120">
        <v>2547.1120000000001</v>
      </c>
      <c r="E327" s="279">
        <f t="shared" si="23"/>
        <v>9.1696031999999992</v>
      </c>
      <c r="F327" s="279">
        <f t="shared" si="24"/>
        <v>242.005890736342</v>
      </c>
      <c r="G327" s="279">
        <v>2.0373000000000001</v>
      </c>
      <c r="H327" s="279">
        <f t="shared" si="25"/>
        <v>5189.2312776000008</v>
      </c>
      <c r="I327" s="451"/>
      <c r="J327" s="280" t="s">
        <v>68</v>
      </c>
    </row>
    <row r="328" spans="1:11" ht="13" hidden="1">
      <c r="A328" s="454"/>
      <c r="B328" s="451"/>
      <c r="C328" s="302" t="s">
        <v>125</v>
      </c>
      <c r="D328" s="120">
        <v>1999.4880000000001</v>
      </c>
      <c r="E328" s="279">
        <f t="shared" si="23"/>
        <v>7.1981567999999996</v>
      </c>
      <c r="F328" s="279">
        <f t="shared" si="24"/>
        <v>189.97510688836101</v>
      </c>
      <c r="G328" s="279">
        <v>2.0373000000000001</v>
      </c>
      <c r="H328" s="279">
        <f t="shared" si="25"/>
        <v>4073.5569024000001</v>
      </c>
      <c r="I328" s="451"/>
      <c r="J328" s="280" t="s">
        <v>68</v>
      </c>
    </row>
    <row r="329" spans="1:11" ht="13" hidden="1">
      <c r="A329" s="454"/>
      <c r="B329" s="451"/>
      <c r="C329" s="302" t="s">
        <v>128</v>
      </c>
      <c r="D329" s="120">
        <v>390.14400000000001</v>
      </c>
      <c r="E329" s="279">
        <f t="shared" si="23"/>
        <v>1.4045183999999999</v>
      </c>
      <c r="F329" s="279">
        <f t="shared" si="24"/>
        <v>37.068313539192395</v>
      </c>
      <c r="G329" s="279">
        <v>2.0373000000000001</v>
      </c>
      <c r="H329" s="279">
        <f t="shared" si="25"/>
        <v>794.84037120000005</v>
      </c>
      <c r="I329" s="451"/>
      <c r="J329" s="280" t="s">
        <v>68</v>
      </c>
    </row>
    <row r="330" spans="1:11" ht="13" hidden="1">
      <c r="A330" s="454"/>
      <c r="B330" s="451"/>
      <c r="C330" s="302" t="s">
        <v>129</v>
      </c>
      <c r="D330" s="120">
        <v>5536.6920000000009</v>
      </c>
      <c r="E330" s="279">
        <f t="shared" si="23"/>
        <v>19.932091200000002</v>
      </c>
      <c r="F330" s="279">
        <f t="shared" si="24"/>
        <v>526.05149643705465</v>
      </c>
      <c r="G330" s="279">
        <v>2.0373000000000001</v>
      </c>
      <c r="H330" s="279">
        <f t="shared" si="25"/>
        <v>11279.902611600002</v>
      </c>
      <c r="I330" s="451"/>
      <c r="J330" s="280" t="s">
        <v>68</v>
      </c>
    </row>
    <row r="331" spans="1:11" ht="13" hidden="1">
      <c r="A331" s="454"/>
      <c r="B331" s="451"/>
      <c r="C331" s="302" t="s">
        <v>129</v>
      </c>
      <c r="D331" s="120">
        <v>37947.599999999991</v>
      </c>
      <c r="E331" s="279">
        <f t="shared" si="23"/>
        <v>136.61135999999996</v>
      </c>
      <c r="F331" s="279">
        <f t="shared" si="24"/>
        <v>3605.4726840855096</v>
      </c>
      <c r="G331" s="279">
        <v>2.0373000000000001</v>
      </c>
      <c r="H331" s="279">
        <f t="shared" si="25"/>
        <v>77310.645479999992</v>
      </c>
      <c r="I331" s="451"/>
      <c r="J331" s="280" t="s">
        <v>68</v>
      </c>
    </row>
    <row r="332" spans="1:11" ht="13" hidden="1">
      <c r="A332" s="454"/>
      <c r="B332" s="451"/>
      <c r="C332" s="302" t="s">
        <v>129</v>
      </c>
      <c r="D332" s="120">
        <v>37947.599999999991</v>
      </c>
      <c r="E332" s="279">
        <f t="shared" si="23"/>
        <v>136.61135999999996</v>
      </c>
      <c r="F332" s="279">
        <f t="shared" si="24"/>
        <v>3605.4726840855096</v>
      </c>
      <c r="G332" s="279">
        <v>2.0373000000000001</v>
      </c>
      <c r="H332" s="279">
        <f t="shared" si="25"/>
        <v>77310.645479999992</v>
      </c>
      <c r="I332" s="451"/>
      <c r="J332" s="280" t="s">
        <v>68</v>
      </c>
    </row>
    <row r="333" spans="1:11" ht="13" hidden="1">
      <c r="A333" s="454"/>
      <c r="B333" s="459" t="s">
        <v>33</v>
      </c>
      <c r="C333" s="298" t="s">
        <v>346</v>
      </c>
      <c r="D333" s="298">
        <v>14393.333333333332</v>
      </c>
      <c r="E333" s="283">
        <f t="shared" si="23"/>
        <v>51.815999999999995</v>
      </c>
      <c r="F333" s="283">
        <f t="shared" si="24"/>
        <v>1367.5376088677749</v>
      </c>
      <c r="G333" s="283">
        <v>1889.36</v>
      </c>
      <c r="H333" s="283">
        <f t="shared" ref="H333:H347" si="26">G333*F333</f>
        <v>2583770.8566904189</v>
      </c>
      <c r="I333" s="452">
        <f>SUM(H333:H347)</f>
        <v>68630077.419319838</v>
      </c>
      <c r="J333" s="284" t="s">
        <v>73</v>
      </c>
    </row>
    <row r="334" spans="1:11" ht="13" hidden="1">
      <c r="A334" s="454"/>
      <c r="B334" s="452"/>
      <c r="C334" s="298" t="s">
        <v>347</v>
      </c>
      <c r="D334" s="298">
        <v>56540.4</v>
      </c>
      <c r="E334" s="283">
        <f t="shared" si="23"/>
        <v>203.54544000000001</v>
      </c>
      <c r="F334" s="283">
        <f t="shared" si="24"/>
        <v>5372.0095011876483</v>
      </c>
      <c r="G334" s="283">
        <v>1889.36</v>
      </c>
      <c r="H334" s="283">
        <f t="shared" si="26"/>
        <v>10149659.871163895</v>
      </c>
      <c r="I334" s="452"/>
      <c r="J334" s="284" t="s">
        <v>25</v>
      </c>
    </row>
    <row r="335" spans="1:11" ht="13" hidden="1">
      <c r="A335" s="454"/>
      <c r="B335" s="452"/>
      <c r="C335" s="298" t="s">
        <v>351</v>
      </c>
      <c r="D335" s="121">
        <v>2963.3333333333335</v>
      </c>
      <c r="E335" s="283">
        <f t="shared" si="23"/>
        <v>10.668000000000001</v>
      </c>
      <c r="F335" s="283">
        <f t="shared" si="24"/>
        <v>281.55186064924783</v>
      </c>
      <c r="G335" s="283">
        <v>1889.36</v>
      </c>
      <c r="H335" s="283">
        <f t="shared" si="26"/>
        <v>531952.8234362629</v>
      </c>
      <c r="I335" s="452"/>
      <c r="J335" s="284" t="s">
        <v>25</v>
      </c>
    </row>
    <row r="336" spans="1:11" ht="13" hidden="1">
      <c r="A336" s="454"/>
      <c r="B336" s="452"/>
      <c r="C336" s="298" t="s">
        <v>351</v>
      </c>
      <c r="D336" s="121">
        <v>2963.3333333333335</v>
      </c>
      <c r="E336" s="283">
        <f t="shared" si="23"/>
        <v>10.668000000000001</v>
      </c>
      <c r="F336" s="283">
        <f t="shared" si="24"/>
        <v>281.55186064924783</v>
      </c>
      <c r="G336" s="283">
        <v>1889.36</v>
      </c>
      <c r="H336" s="283">
        <f t="shared" si="26"/>
        <v>531952.8234362629</v>
      </c>
      <c r="I336" s="452"/>
      <c r="J336" s="284" t="s">
        <v>25</v>
      </c>
    </row>
    <row r="337" spans="1:10" ht="13" hidden="1">
      <c r="A337" s="454"/>
      <c r="B337" s="452"/>
      <c r="C337" s="298" t="s">
        <v>351</v>
      </c>
      <c r="D337" s="121">
        <v>2963.3333333333335</v>
      </c>
      <c r="E337" s="283">
        <f t="shared" si="23"/>
        <v>10.668000000000001</v>
      </c>
      <c r="F337" s="283">
        <f t="shared" si="24"/>
        <v>281.55186064924783</v>
      </c>
      <c r="G337" s="283">
        <v>1889.36</v>
      </c>
      <c r="H337" s="283">
        <f t="shared" si="26"/>
        <v>531952.8234362629</v>
      </c>
      <c r="I337" s="452"/>
      <c r="J337" s="284" t="s">
        <v>25</v>
      </c>
    </row>
    <row r="338" spans="1:10" ht="13" hidden="1">
      <c r="A338" s="454"/>
      <c r="B338" s="452"/>
      <c r="C338" s="298" t="s">
        <v>351</v>
      </c>
      <c r="D338" s="121">
        <v>2963.3333333333335</v>
      </c>
      <c r="E338" s="283">
        <f t="shared" si="23"/>
        <v>10.668000000000001</v>
      </c>
      <c r="F338" s="283">
        <f t="shared" si="24"/>
        <v>281.55186064924783</v>
      </c>
      <c r="G338" s="283">
        <v>1889.36</v>
      </c>
      <c r="H338" s="283">
        <f t="shared" si="26"/>
        <v>531952.8234362629</v>
      </c>
      <c r="I338" s="452"/>
      <c r="J338" s="284" t="s">
        <v>25</v>
      </c>
    </row>
    <row r="339" spans="1:10" ht="13" hidden="1">
      <c r="A339" s="454"/>
      <c r="B339" s="452"/>
      <c r="C339" s="298" t="s">
        <v>351</v>
      </c>
      <c r="D339" s="298">
        <v>186.26666666666668</v>
      </c>
      <c r="E339" s="283">
        <f t="shared" si="23"/>
        <v>0.67056000000000004</v>
      </c>
      <c r="F339" s="283">
        <f t="shared" si="24"/>
        <v>17.697545526524149</v>
      </c>
      <c r="G339" s="283">
        <v>1889.36</v>
      </c>
      <c r="H339" s="283">
        <f t="shared" si="26"/>
        <v>33437.034615993667</v>
      </c>
      <c r="I339" s="452"/>
      <c r="J339" s="284" t="s">
        <v>25</v>
      </c>
    </row>
    <row r="340" spans="1:10" ht="13" hidden="1">
      <c r="A340" s="454"/>
      <c r="B340" s="452"/>
      <c r="C340" s="298" t="s">
        <v>479</v>
      </c>
      <c r="D340" s="298">
        <v>62198.391111111116</v>
      </c>
      <c r="E340" s="283">
        <f t="shared" ref="E340:E362" si="27">D340*E$22</f>
        <v>223.914208</v>
      </c>
      <c r="F340" s="283">
        <f t="shared" ref="F340:F362" si="28">E340*E$25</f>
        <v>5909.5858537872791</v>
      </c>
      <c r="G340" s="283">
        <v>1889.36</v>
      </c>
      <c r="H340" s="283">
        <f t="shared" si="26"/>
        <v>11165335.128711533</v>
      </c>
      <c r="I340" s="452"/>
      <c r="J340" s="284" t="s">
        <v>25</v>
      </c>
    </row>
    <row r="341" spans="1:10" ht="13" hidden="1">
      <c r="A341" s="454"/>
      <c r="B341" s="452"/>
      <c r="C341" s="298" t="s">
        <v>481</v>
      </c>
      <c r="D341" s="298">
        <v>43180</v>
      </c>
      <c r="E341" s="283">
        <f t="shared" si="27"/>
        <v>155.44800000000001</v>
      </c>
      <c r="F341" s="283">
        <f t="shared" si="28"/>
        <v>4102.6128266033256</v>
      </c>
      <c r="G341" s="283">
        <v>1889.36</v>
      </c>
      <c r="H341" s="283">
        <f t="shared" si="26"/>
        <v>7751312.5700712586</v>
      </c>
      <c r="I341" s="452"/>
      <c r="J341" s="284" t="s">
        <v>34</v>
      </c>
    </row>
    <row r="342" spans="1:10" ht="13" hidden="1">
      <c r="A342" s="454"/>
      <c r="B342" s="452"/>
      <c r="C342" s="298" t="s">
        <v>481</v>
      </c>
      <c r="D342" s="299">
        <v>43180</v>
      </c>
      <c r="E342" s="283">
        <f t="shared" si="27"/>
        <v>155.44800000000001</v>
      </c>
      <c r="F342" s="283">
        <f t="shared" si="28"/>
        <v>4102.6128266033256</v>
      </c>
      <c r="G342" s="283">
        <v>1889.36</v>
      </c>
      <c r="H342" s="283">
        <f t="shared" si="26"/>
        <v>7751312.5700712586</v>
      </c>
      <c r="I342" s="452"/>
      <c r="J342" s="284" t="s">
        <v>34</v>
      </c>
    </row>
    <row r="343" spans="1:10" ht="13" hidden="1">
      <c r="A343" s="454"/>
      <c r="B343" s="452"/>
      <c r="C343" s="298" t="s">
        <v>35</v>
      </c>
      <c r="D343" s="298">
        <v>57065.333333333336</v>
      </c>
      <c r="E343" s="283">
        <f t="shared" si="27"/>
        <v>205.43520000000001</v>
      </c>
      <c r="F343" s="283">
        <f t="shared" si="28"/>
        <v>5421.8844022169442</v>
      </c>
      <c r="G343" s="283">
        <v>1889.36</v>
      </c>
      <c r="H343" s="283">
        <f t="shared" si="26"/>
        <v>10243891.514172604</v>
      </c>
      <c r="I343" s="452"/>
      <c r="J343" s="284" t="s">
        <v>34</v>
      </c>
    </row>
    <row r="344" spans="1:10" ht="13" hidden="1">
      <c r="A344" s="454"/>
      <c r="B344" s="452"/>
      <c r="C344" s="298" t="s">
        <v>346</v>
      </c>
      <c r="D344" s="298">
        <v>40942.861133333332</v>
      </c>
      <c r="E344" s="283">
        <f t="shared" si="27"/>
        <v>147.39430007999999</v>
      </c>
      <c r="F344" s="283">
        <f t="shared" si="28"/>
        <v>3890.0580649247818</v>
      </c>
      <c r="G344" s="283">
        <v>1889.36</v>
      </c>
      <c r="H344" s="283">
        <f>G344*F344</f>
        <v>7349720.1055462854</v>
      </c>
      <c r="I344" s="452"/>
      <c r="J344" s="284" t="s">
        <v>34</v>
      </c>
    </row>
    <row r="345" spans="1:10" ht="13" hidden="1">
      <c r="A345" s="454"/>
      <c r="B345" s="452"/>
      <c r="C345" s="298" t="s">
        <v>346</v>
      </c>
      <c r="D345" s="298">
        <v>14393.333333333332</v>
      </c>
      <c r="E345" s="283">
        <f t="shared" si="27"/>
        <v>51.815999999999995</v>
      </c>
      <c r="F345" s="283">
        <f t="shared" si="28"/>
        <v>1367.5376088677749</v>
      </c>
      <c r="G345" s="283">
        <v>1889.36</v>
      </c>
      <c r="H345" s="283">
        <f t="shared" si="26"/>
        <v>2583770.8566904189</v>
      </c>
      <c r="I345" s="452"/>
      <c r="J345" s="284" t="s">
        <v>34</v>
      </c>
    </row>
    <row r="346" spans="1:10" hidden="1">
      <c r="A346" s="454"/>
      <c r="B346" s="452"/>
      <c r="C346" s="281" t="s">
        <v>580</v>
      </c>
      <c r="D346" s="282">
        <v>19191.111111111109</v>
      </c>
      <c r="E346" s="283">
        <f t="shared" si="27"/>
        <v>69.087999999999994</v>
      </c>
      <c r="F346" s="283">
        <f t="shared" si="28"/>
        <v>1823.3834784903665</v>
      </c>
      <c r="G346" s="283">
        <v>1889.36</v>
      </c>
      <c r="H346" s="283">
        <f t="shared" si="26"/>
        <v>3445027.8089205585</v>
      </c>
      <c r="I346" s="452"/>
      <c r="J346" s="284" t="s">
        <v>34</v>
      </c>
    </row>
    <row r="347" spans="1:10" hidden="1">
      <c r="A347" s="454"/>
      <c r="B347" s="452"/>
      <c r="C347" s="281" t="s">
        <v>580</v>
      </c>
      <c r="D347" s="282">
        <v>19191.111111111109</v>
      </c>
      <c r="E347" s="283">
        <f t="shared" si="27"/>
        <v>69.087999999999994</v>
      </c>
      <c r="F347" s="283">
        <f t="shared" si="28"/>
        <v>1823.3834784903665</v>
      </c>
      <c r="G347" s="283">
        <v>1889.36</v>
      </c>
      <c r="H347" s="283">
        <f t="shared" si="26"/>
        <v>3445027.8089205585</v>
      </c>
      <c r="I347" s="452"/>
      <c r="J347" s="284" t="s">
        <v>34</v>
      </c>
    </row>
    <row r="348" spans="1:10" ht="13" hidden="1">
      <c r="A348" s="454"/>
      <c r="B348" s="459" t="s">
        <v>36</v>
      </c>
      <c r="C348" s="298" t="s">
        <v>433</v>
      </c>
      <c r="D348" s="298">
        <v>44331.466666666667</v>
      </c>
      <c r="E348" s="283">
        <f t="shared" si="27"/>
        <v>159.59327999999999</v>
      </c>
      <c r="F348" s="283">
        <f t="shared" si="28"/>
        <v>4212.0158353127472</v>
      </c>
      <c r="G348" s="282">
        <v>96.616216216216216</v>
      </c>
      <c r="H348" s="282">
        <f>G348*E348</f>
        <v>15419.298847135135</v>
      </c>
      <c r="I348" s="452">
        <f>SUM(H348:H351)</f>
        <v>47435.841449513515</v>
      </c>
      <c r="J348" s="285" t="s">
        <v>75</v>
      </c>
    </row>
    <row r="349" spans="1:10" ht="13" hidden="1">
      <c r="A349" s="454"/>
      <c r="B349" s="452"/>
      <c r="C349" s="298" t="s">
        <v>433</v>
      </c>
      <c r="D349" s="298">
        <v>44331.466666666667</v>
      </c>
      <c r="E349" s="283">
        <f t="shared" si="27"/>
        <v>159.59327999999999</v>
      </c>
      <c r="F349" s="283">
        <f t="shared" si="28"/>
        <v>4212.0158353127472</v>
      </c>
      <c r="G349" s="282">
        <v>96.616216216216216</v>
      </c>
      <c r="H349" s="282">
        <f t="shared" ref="H349:H351" si="29">G349*E349</f>
        <v>15419.298847135135</v>
      </c>
      <c r="I349" s="452"/>
      <c r="J349" s="285" t="s">
        <v>75</v>
      </c>
    </row>
    <row r="350" spans="1:10" ht="13" hidden="1">
      <c r="A350" s="454"/>
      <c r="B350" s="452"/>
      <c r="C350" s="298" t="s">
        <v>433</v>
      </c>
      <c r="D350" s="121">
        <v>44331.466666666667</v>
      </c>
      <c r="E350" s="283">
        <f t="shared" si="27"/>
        <v>159.59327999999999</v>
      </c>
      <c r="F350" s="283">
        <f t="shared" si="28"/>
        <v>4212.0158353127472</v>
      </c>
      <c r="G350" s="282">
        <v>96.616216216216216</v>
      </c>
      <c r="H350" s="282">
        <f t="shared" si="29"/>
        <v>15419.298847135135</v>
      </c>
      <c r="I350" s="452"/>
      <c r="J350" s="285" t="s">
        <v>75</v>
      </c>
    </row>
    <row r="351" spans="1:10" ht="13" hidden="1">
      <c r="A351" s="454"/>
      <c r="B351" s="452"/>
      <c r="C351" s="299" t="s">
        <v>582</v>
      </c>
      <c r="D351" s="298">
        <v>3386.6666666666665</v>
      </c>
      <c r="E351" s="283">
        <f t="shared" si="27"/>
        <v>12.191999999999998</v>
      </c>
      <c r="F351" s="283">
        <f t="shared" si="28"/>
        <v>321.77355502771172</v>
      </c>
      <c r="G351" s="282">
        <v>96.616216216216216</v>
      </c>
      <c r="H351" s="282">
        <f t="shared" si="29"/>
        <v>1177.9449081081079</v>
      </c>
      <c r="I351" s="452"/>
      <c r="J351" s="285" t="s">
        <v>75</v>
      </c>
    </row>
    <row r="352" spans="1:10" hidden="1">
      <c r="A352" s="454" t="s">
        <v>0</v>
      </c>
      <c r="B352" s="451" t="s">
        <v>37</v>
      </c>
      <c r="C352" s="278" t="s">
        <v>379</v>
      </c>
      <c r="D352" s="279">
        <v>3840.48</v>
      </c>
      <c r="E352" s="279">
        <f t="shared" si="27"/>
        <v>13.825728</v>
      </c>
      <c r="F352" s="279">
        <f t="shared" si="28"/>
        <v>364.89121140142515</v>
      </c>
      <c r="G352" s="279">
        <v>2.0373000000000001</v>
      </c>
      <c r="H352" s="279">
        <f t="shared" ref="H352:H362" si="30">G352*D352</f>
        <v>7824.2099040000003</v>
      </c>
      <c r="I352" s="451">
        <f>SUM(H352:H362)</f>
        <v>74329.994087999992</v>
      </c>
      <c r="J352" s="280" t="s">
        <v>132</v>
      </c>
    </row>
    <row r="353" spans="1:11" hidden="1">
      <c r="A353" s="454"/>
      <c r="B353" s="451"/>
      <c r="C353" s="278" t="s">
        <v>380</v>
      </c>
      <c r="D353" s="279">
        <v>4114.8</v>
      </c>
      <c r="E353" s="279">
        <f t="shared" si="27"/>
        <v>14.813280000000001</v>
      </c>
      <c r="F353" s="279">
        <f t="shared" si="28"/>
        <v>390.95486935866984</v>
      </c>
      <c r="G353" s="279">
        <v>2.0373000000000001</v>
      </c>
      <c r="H353" s="279">
        <f t="shared" si="30"/>
        <v>8383.0820400000011</v>
      </c>
      <c r="I353" s="451"/>
      <c r="J353" s="280" t="s">
        <v>132</v>
      </c>
    </row>
    <row r="354" spans="1:11" hidden="1">
      <c r="A354" s="454"/>
      <c r="B354" s="451"/>
      <c r="C354" s="278" t="s">
        <v>381</v>
      </c>
      <c r="D354" s="279">
        <v>3291.8399999999997</v>
      </c>
      <c r="E354" s="279">
        <f t="shared" si="27"/>
        <v>11.850623999999998</v>
      </c>
      <c r="F354" s="279">
        <f t="shared" si="28"/>
        <v>312.76389548693578</v>
      </c>
      <c r="G354" s="279">
        <v>2.0373000000000001</v>
      </c>
      <c r="H354" s="279">
        <f t="shared" si="30"/>
        <v>6706.4656319999995</v>
      </c>
      <c r="I354" s="451"/>
      <c r="J354" s="280" t="s">
        <v>132</v>
      </c>
    </row>
    <row r="355" spans="1:11" hidden="1">
      <c r="A355" s="454"/>
      <c r="B355" s="451"/>
      <c r="C355" s="278" t="s">
        <v>382</v>
      </c>
      <c r="D355" s="279">
        <v>3566.1600000000003</v>
      </c>
      <c r="E355" s="279">
        <f t="shared" si="27"/>
        <v>12.838176000000001</v>
      </c>
      <c r="F355" s="279">
        <f t="shared" si="28"/>
        <v>338.82755344418052</v>
      </c>
      <c r="G355" s="279">
        <v>2.0373000000000001</v>
      </c>
      <c r="H355" s="279">
        <f t="shared" si="30"/>
        <v>7265.3377680000012</v>
      </c>
      <c r="I355" s="451"/>
      <c r="J355" s="280" t="s">
        <v>132</v>
      </c>
      <c r="K355" s="105">
        <f>I352*0.000001</f>
        <v>7.4329994087999993E-2</v>
      </c>
    </row>
    <row r="356" spans="1:11" hidden="1">
      <c r="A356" s="454"/>
      <c r="B356" s="451"/>
      <c r="C356" s="278" t="s">
        <v>383</v>
      </c>
      <c r="D356" s="279">
        <v>1920.24</v>
      </c>
      <c r="E356" s="279">
        <f t="shared" si="27"/>
        <v>6.9128639999999999</v>
      </c>
      <c r="F356" s="279">
        <f t="shared" si="28"/>
        <v>182.44560570071258</v>
      </c>
      <c r="G356" s="279">
        <v>2.0373000000000001</v>
      </c>
      <c r="H356" s="279">
        <f>G356*D356</f>
        <v>3912.1049520000001</v>
      </c>
      <c r="I356" s="451"/>
      <c r="J356" s="280" t="s">
        <v>137</v>
      </c>
    </row>
    <row r="357" spans="1:11" hidden="1">
      <c r="A357" s="454"/>
      <c r="B357" s="451"/>
      <c r="C357" s="278" t="s">
        <v>384</v>
      </c>
      <c r="D357" s="279">
        <v>1371.6</v>
      </c>
      <c r="E357" s="279">
        <f t="shared" si="27"/>
        <v>4.9377599999999999</v>
      </c>
      <c r="F357" s="279">
        <f t="shared" si="28"/>
        <v>130.31828978622326</v>
      </c>
      <c r="G357" s="279">
        <v>2.0373000000000001</v>
      </c>
      <c r="H357" s="279">
        <f t="shared" si="30"/>
        <v>2794.3606799999998</v>
      </c>
      <c r="I357" s="451"/>
      <c r="J357" s="280" t="s">
        <v>139</v>
      </c>
    </row>
    <row r="358" spans="1:11" hidden="1">
      <c r="A358" s="454"/>
      <c r="B358" s="451"/>
      <c r="C358" s="278" t="s">
        <v>385</v>
      </c>
      <c r="D358" s="279">
        <v>274.32</v>
      </c>
      <c r="E358" s="279">
        <f t="shared" si="27"/>
        <v>0.98755199999999999</v>
      </c>
      <c r="F358" s="279">
        <f t="shared" si="28"/>
        <v>26.063657957244654</v>
      </c>
      <c r="G358" s="279">
        <v>2.0373000000000001</v>
      </c>
      <c r="H358" s="279">
        <f t="shared" si="30"/>
        <v>558.87213600000007</v>
      </c>
      <c r="I358" s="451"/>
      <c r="J358" s="280" t="s">
        <v>139</v>
      </c>
    </row>
    <row r="359" spans="1:11" hidden="1">
      <c r="A359" s="454"/>
      <c r="B359" s="451"/>
      <c r="C359" s="278" t="s">
        <v>386</v>
      </c>
      <c r="D359" s="279">
        <v>9326.8799999999992</v>
      </c>
      <c r="E359" s="279">
        <f t="shared" si="27"/>
        <v>33.576767999999994</v>
      </c>
      <c r="F359" s="279">
        <f t="shared" si="28"/>
        <v>886.16437054631808</v>
      </c>
      <c r="G359" s="279">
        <v>2.0373000000000001</v>
      </c>
      <c r="H359" s="279">
        <f t="shared" si="30"/>
        <v>19001.652623999998</v>
      </c>
      <c r="I359" s="451"/>
      <c r="J359" s="280" t="s">
        <v>139</v>
      </c>
    </row>
    <row r="360" spans="1:11" hidden="1">
      <c r="A360" s="454"/>
      <c r="B360" s="451"/>
      <c r="C360" s="278" t="s">
        <v>387</v>
      </c>
      <c r="D360" s="279">
        <v>1645.9199999999998</v>
      </c>
      <c r="E360" s="279">
        <f t="shared" si="27"/>
        <v>5.925311999999999</v>
      </c>
      <c r="F360" s="279">
        <f t="shared" si="28"/>
        <v>156.38194774346789</v>
      </c>
      <c r="G360" s="279">
        <v>2.0373000000000001</v>
      </c>
      <c r="H360" s="279">
        <f t="shared" si="30"/>
        <v>3353.2328159999997</v>
      </c>
      <c r="I360" s="451"/>
      <c r="J360" s="280" t="s">
        <v>139</v>
      </c>
    </row>
    <row r="361" spans="1:11" hidden="1">
      <c r="A361" s="454"/>
      <c r="B361" s="451"/>
      <c r="C361" s="278" t="s">
        <v>386</v>
      </c>
      <c r="D361" s="279">
        <v>6583.6799999999994</v>
      </c>
      <c r="E361" s="279">
        <f t="shared" si="27"/>
        <v>23.701247999999996</v>
      </c>
      <c r="F361" s="279">
        <f t="shared" si="28"/>
        <v>625.52779097387156</v>
      </c>
      <c r="G361" s="279">
        <v>2.0373000000000001</v>
      </c>
      <c r="H361" s="279">
        <f t="shared" si="30"/>
        <v>13412.931263999999</v>
      </c>
      <c r="I361" s="451"/>
      <c r="J361" s="280" t="s">
        <v>139</v>
      </c>
    </row>
    <row r="362" spans="1:11" ht="13" hidden="1" thickBot="1">
      <c r="A362" s="455"/>
      <c r="B362" s="453"/>
      <c r="C362" s="324" t="s">
        <v>268</v>
      </c>
      <c r="D362" s="317">
        <v>548.64</v>
      </c>
      <c r="E362" s="317">
        <f t="shared" si="27"/>
        <v>1.975104</v>
      </c>
      <c r="F362" s="317">
        <f t="shared" si="28"/>
        <v>52.127315914489309</v>
      </c>
      <c r="G362" s="317">
        <v>2.0373000000000001</v>
      </c>
      <c r="H362" s="317">
        <f t="shared" si="30"/>
        <v>1117.7442720000001</v>
      </c>
      <c r="I362" s="453"/>
      <c r="J362" s="318" t="s">
        <v>139</v>
      </c>
    </row>
    <row r="363" spans="1:11" ht="13" hidden="1" thickBot="1"/>
    <row r="364" spans="1:11" ht="13" customHeight="1">
      <c r="A364" s="446" t="s">
        <v>38</v>
      </c>
      <c r="B364" s="447"/>
      <c r="C364" s="448"/>
      <c r="D364" s="286">
        <f>SUM(E276:E362)</f>
        <v>3791.2819576799998</v>
      </c>
    </row>
    <row r="365" spans="1:11">
      <c r="A365" s="296" t="s">
        <v>39</v>
      </c>
      <c r="B365" s="297"/>
      <c r="C365" s="121"/>
      <c r="D365" s="287">
        <f>SUM(I276+I352)*0.000001</f>
        <v>1.0888091846328001</v>
      </c>
    </row>
    <row r="366" spans="1:11">
      <c r="A366" s="296" t="s">
        <v>40</v>
      </c>
      <c r="B366" s="297"/>
      <c r="C366" s="121"/>
      <c r="D366" s="287">
        <f>I333*0.000001</f>
        <v>68.630077419319832</v>
      </c>
    </row>
    <row r="367" spans="1:11" ht="13" thickBot="1">
      <c r="A367" s="294" t="s">
        <v>41</v>
      </c>
      <c r="B367" s="295"/>
      <c r="C367" s="246"/>
      <c r="D367" s="288">
        <f>I348*0.000001</f>
        <v>4.7435841449513516E-2</v>
      </c>
    </row>
    <row r="368" spans="1:11" ht="13" thickBot="1">
      <c r="A368" s="239" t="s">
        <v>113</v>
      </c>
      <c r="B368" s="240"/>
      <c r="C368" s="240"/>
      <c r="D368" s="289">
        <f>SUM(D365:D367)</f>
        <v>69.766322445402139</v>
      </c>
    </row>
    <row r="370" spans="1:4" ht="13" thickBot="1"/>
    <row r="371" spans="1:4">
      <c r="A371" s="444" t="s">
        <v>162</v>
      </c>
      <c r="B371" s="445"/>
      <c r="C371" s="445"/>
      <c r="D371" s="325">
        <f>SUM(D97+D184+D267+D364)</f>
        <v>12379.52820836</v>
      </c>
    </row>
    <row r="372" spans="1:4">
      <c r="A372" s="329" t="s">
        <v>607</v>
      </c>
      <c r="B372" s="330"/>
      <c r="C372" s="331"/>
      <c r="D372" s="326">
        <f>SUM(D98+D185+D268+D365)</f>
        <v>2.4728991209802902</v>
      </c>
    </row>
    <row r="373" spans="1:4">
      <c r="A373" s="329" t="s">
        <v>608</v>
      </c>
      <c r="B373" s="330"/>
      <c r="C373" s="331"/>
      <c r="D373" s="326">
        <f>SUM(D99+D186+D269+D366)</f>
        <v>206.73390318493523</v>
      </c>
    </row>
    <row r="374" spans="1:4" ht="13" thickBot="1">
      <c r="A374" s="332" t="s">
        <v>609</v>
      </c>
      <c r="B374" s="333"/>
      <c r="C374" s="334"/>
      <c r="D374" s="327">
        <f>SUM(D100+D187+D270+D367)</f>
        <v>0.37331333790281512</v>
      </c>
    </row>
    <row r="375" spans="1:4" ht="13" thickBot="1">
      <c r="A375" s="335" t="s">
        <v>610</v>
      </c>
      <c r="B375" s="336"/>
      <c r="C375" s="336"/>
      <c r="D375" s="328">
        <f>SUM(D101+D188+D271+D368)</f>
        <v>209.58011564381832</v>
      </c>
    </row>
  </sheetData>
  <sortState ref="B279:D368">
    <sortCondition ref="B280:B368"/>
  </sortState>
  <mergeCells count="53">
    <mergeCell ref="A191:D191"/>
    <mergeCell ref="A193:A260"/>
    <mergeCell ref="B193:B247"/>
    <mergeCell ref="B248:B255"/>
    <mergeCell ref="B256:B260"/>
    <mergeCell ref="A168:A182"/>
    <mergeCell ref="I106:I152"/>
    <mergeCell ref="I168:I182"/>
    <mergeCell ref="A1:F1"/>
    <mergeCell ref="A3:C3"/>
    <mergeCell ref="A9:C9"/>
    <mergeCell ref="A15:C15"/>
    <mergeCell ref="A31:A85"/>
    <mergeCell ref="B31:B72"/>
    <mergeCell ref="B73:B85"/>
    <mergeCell ref="A261:A265"/>
    <mergeCell ref="I261:I265"/>
    <mergeCell ref="I31:I72"/>
    <mergeCell ref="I73:I85"/>
    <mergeCell ref="I86:I95"/>
    <mergeCell ref="B106:B152"/>
    <mergeCell ref="A104:D104"/>
    <mergeCell ref="A100:C100"/>
    <mergeCell ref="B86:B95"/>
    <mergeCell ref="A86:A95"/>
    <mergeCell ref="A97:C97"/>
    <mergeCell ref="A98:C98"/>
    <mergeCell ref="A99:C99"/>
    <mergeCell ref="A106:A167"/>
    <mergeCell ref="B153:B164"/>
    <mergeCell ref="B168:B182"/>
    <mergeCell ref="B333:B347"/>
    <mergeCell ref="B348:B351"/>
    <mergeCell ref="I193:I247"/>
    <mergeCell ref="I248:I255"/>
    <mergeCell ref="I256:I260"/>
    <mergeCell ref="B261:B265"/>
    <mergeCell ref="A371:C371"/>
    <mergeCell ref="A364:C364"/>
    <mergeCell ref="A184:C184"/>
    <mergeCell ref="B165:B167"/>
    <mergeCell ref="I153:I164"/>
    <mergeCell ref="I165:I167"/>
    <mergeCell ref="I276:I332"/>
    <mergeCell ref="I333:I347"/>
    <mergeCell ref="I348:I351"/>
    <mergeCell ref="I352:I362"/>
    <mergeCell ref="A352:A362"/>
    <mergeCell ref="B352:B362"/>
    <mergeCell ref="A267:C267"/>
    <mergeCell ref="A274:D274"/>
    <mergeCell ref="A276:A351"/>
    <mergeCell ref="B276:B332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WASTE</vt:lpstr>
      <vt:lpstr>WASTE (FINAL)</vt:lpstr>
      <vt:lpstr>ENERGY</vt:lpstr>
      <vt:lpstr>WATER (FINAL) </vt:lpstr>
      <vt:lpstr>ENERGY (FINAL)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Lou-Anne Daoust-Filiatrault</dc:creator>
  <cp:lastModifiedBy>Lou-Anne Daoust-Filiatrault</cp:lastModifiedBy>
  <dcterms:created xsi:type="dcterms:W3CDTF">2013-06-04T17:49:17Z</dcterms:created>
  <dcterms:modified xsi:type="dcterms:W3CDTF">2013-09-09T22:11:56Z</dcterms:modified>
</cp:coreProperties>
</file>